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1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'Видатки'!$A$1:$R$68</definedName>
    <definedName name="_xlnm.Print_Area" localSheetId="0">'Доходи'!$A$1:$R$94</definedName>
  </definedNames>
  <calcPr fullCalcOnLoad="1"/>
</workbook>
</file>

<file path=xl/sharedStrings.xml><?xml version="1.0" encoding="utf-8"?>
<sst xmlns="http://schemas.openxmlformats.org/spreadsheetml/2006/main" count="274" uniqueCount="242">
  <si>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</si>
  <si>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</si>
  <si>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</si>
  <si>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</si>
  <si>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</si>
  <si>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</si>
  <si>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</si>
  <si>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</si>
  <si>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</si>
  <si>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</si>
  <si>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</si>
  <si>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</si>
  <si>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</si>
  <si>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</si>
  <si>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</si>
  <si>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</si>
  <si>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</si>
  <si>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</si>
  <si>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</si>
  <si>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</si>
  <si>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</si>
  <si>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</si>
  <si>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</si>
  <si>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</si>
  <si>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</si>
  <si>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</si>
  <si>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</si>
  <si>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</si>
  <si>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</si>
  <si>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</si>
  <si>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</si>
  <si>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</si>
  <si>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</si>
  <si>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</si>
  <si>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</si>
  <si>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</si>
  <si>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</si>
  <si>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</si>
  <si>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</si>
  <si>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</si>
  <si>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</si>
  <si>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</si>
  <si>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</si>
  <si>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</si>
  <si>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</si>
  <si>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</si>
  <si>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</si>
  <si>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</si>
  <si>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</si>
  <si>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</si>
  <si>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</si>
  <si>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</si>
  <si>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</si>
  <si>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</si>
  <si>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</si>
  <si>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</si>
  <si>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</si>
  <si>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</si>
  <si>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</si>
  <si>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</si>
  <si>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</si>
  <si>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</si>
  <si>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</si>
  <si>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</si>
  <si>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</si>
  <si>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</si>
  <si>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</si>
  <si>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</si>
  <si>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</si>
  <si>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</si>
  <si>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</si>
  <si>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</si>
  <si>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</si>
  <si>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</si>
  <si>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</si>
  <si>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</si>
  <si>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</si>
  <si>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</si>
  <si>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</si>
  <si>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</si>
  <si>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</si>
  <si>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</si>
  <si>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</si>
  <si>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</si>
  <si>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</si>
  <si>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</si>
  <si>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</si>
  <si>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</si>
  <si>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</si>
  <si>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</si>
  <si>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</si>
  <si>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</si>
  <si>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</si>
  <si>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</si>
  <si>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</si>
  <si>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</si>
  <si>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</si>
  <si>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</si>
  <si>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</si>
  <si>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</si>
  <si>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</si>
  <si>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</si>
  <si>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</si>
  <si>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</si>
  <si>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</si>
  <si>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</si>
  <si>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</si>
  <si>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</si>
  <si>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</si>
  <si>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</si>
  <si>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</si>
  <si>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</si>
  <si>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</si>
  <si>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</si>
  <si>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</si>
  <si>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</si>
  <si>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</si>
  <si>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</si>
  <si>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</si>
  <si>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</si>
  <si>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</si>
  <si>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</si>
  <si>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</si>
  <si>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</si>
  <si>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</si>
  <si>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</si>
  <si>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</si>
  <si>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</si>
  <si>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</si>
  <si>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</si>
  <si>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</si>
  <si>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</si>
  <si>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</si>
  <si>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</si>
  <si>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</si>
  <si>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</si>
  <si>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</si>
  <si>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</si>
  <si>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</si>
  <si>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</si>
  <si>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</si>
  <si>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</si>
  <si>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</si>
  <si>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</si>
  <si>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</si>
  <si>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</si>
  <si>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</si>
  <si>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</si>
  <si>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</si>
  <si>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</si>
  <si>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</si>
  <si>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</si>
  <si>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</si>
  <si>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</si>
  <si>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</si>
  <si>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</si>
  <si>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</si>
  <si>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</si>
  <si>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</si>
  <si>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</si>
  <si>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</si>
  <si>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</si>
  <si>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</si>
  <si>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</si>
  <si>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</si>
  <si>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</si>
  <si>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</si>
  <si>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</si>
  <si>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</si>
  <si>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</si>
  <si>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</si>
  <si>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</si>
  <si>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</si>
  <si>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</si>
  <si>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</si>
  <si>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</si>
  <si>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</si>
  <si>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</si>
  <si>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</si>
  <si>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</si>
  <si>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</si>
  <si>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</si>
  <si>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</si>
  <si>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</si>
  <si>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</si>
  <si>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</si>
  <si>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</si>
  <si>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</si>
  <si>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</si>
  <si>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</si>
  <si>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</si>
  <si>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</si>
  <si>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</si>
  <si>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</si>
  <si>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</si>
  <si>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</si>
  <si>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</si>
  <si>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</si>
  <si>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</si>
  <si>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</si>
  <si>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</si>
  <si>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</si>
  <si>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</si>
  <si>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</si>
  <si>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</si>
  <si>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</si>
  <si>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</si>
  <si>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</si>
  <si>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</si>
  <si>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</si>
  <si>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</si>
  <si>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</si>
  <si>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</si>
  <si>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</si>
  <si>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</si>
  <si>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</si>
  <si>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</si>
  <si>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</si>
  <si>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</si>
  <si>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</si>
  <si>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</si>
  <si>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</si>
  <si>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</si>
  <si>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</si>
  <si>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</si>
  <si>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</si>
  <si>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</si>
  <si>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</si>
  <si>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за січень-квітень 2023 року</t>
  </si>
  <si>
    <t>План на січень-квітень 2023 року</t>
  </si>
  <si>
    <t>Відхилення до плану на січень-квітень 2023 року (+/-)</t>
  </si>
  <si>
    <t xml:space="preserve">Процент виконання до плану на січень-квітень 2023 року </t>
  </si>
  <si>
    <t>Відхилення на січень-квітень 2023 року (+/-)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</si>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</sst>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101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i/>
      <sz val="10"/>
      <name val="Times New Roman Cyr"/>
      <family val="1"/>
    </font>
    <font>
      <sz val="10"/>
      <color indexed="8"/>
      <name val="Calibri"/>
      <family val="2"/>
    </font>
    <font>
      <i/>
      <sz val="16"/>
      <color indexed="10"/>
      <name val="Times New Roman Cyr"/>
      <family val="1"/>
    </font>
    <font>
      <i/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0"/>
      <color indexed="10"/>
      <name val="Times New Roman"/>
      <family val="1"/>
    </font>
    <font>
      <b/>
      <sz val="16"/>
      <color indexed="40"/>
      <name val="Times New Roman"/>
      <family val="1"/>
    </font>
    <font>
      <b/>
      <i/>
      <sz val="16"/>
      <color indexed="40"/>
      <name val="Times New Roman"/>
      <family val="1"/>
    </font>
    <font>
      <i/>
      <sz val="16"/>
      <color indexed="40"/>
      <name val="Times New Roman"/>
      <family val="1"/>
    </font>
    <font>
      <i/>
      <sz val="16"/>
      <color indexed="3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 Cyr"/>
      <family val="1"/>
    </font>
    <font>
      <i/>
      <sz val="12"/>
      <color rgb="FFFF0000"/>
      <name val="Times New Roman"/>
      <family val="1"/>
    </font>
    <font>
      <i/>
      <sz val="16"/>
      <color rgb="FFFF0000"/>
      <name val="Times New Roman Cyr"/>
      <family val="1"/>
    </font>
    <font>
      <i/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sz val="10"/>
      <color rgb="FFFF0000"/>
      <name val="Times New Roman"/>
      <family val="1"/>
    </font>
    <font>
      <b/>
      <sz val="16"/>
      <color rgb="FF00B0F0"/>
      <name val="Times New Roman"/>
      <family val="1"/>
    </font>
    <font>
      <b/>
      <i/>
      <sz val="16"/>
      <color rgb="FF00B0F0"/>
      <name val="Times New Roman"/>
      <family val="1"/>
    </font>
    <font>
      <i/>
      <sz val="16"/>
      <color rgb="FF00B0F0"/>
      <name val="Times New Roman"/>
      <family val="1"/>
    </font>
    <font>
      <i/>
      <sz val="16"/>
      <color rgb="FF0070C0"/>
      <name val="Times New Roman Cyr"/>
      <family val="1"/>
    </font>
    <font>
      <sz val="11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38" fillId="3" borderId="0" applyNumberFormat="0" applyBorder="0" applyAlignment="0" applyProtection="0"/>
    <xf numFmtId="0" fontId="72" fillId="4" borderId="0" applyNumberFormat="0" applyBorder="0" applyAlignment="0" applyProtection="0"/>
    <xf numFmtId="0" fontId="38" fillId="5" borderId="0" applyNumberFormat="0" applyBorder="0" applyAlignment="0" applyProtection="0"/>
    <xf numFmtId="0" fontId="72" fillId="6" borderId="0" applyNumberFormat="0" applyBorder="0" applyAlignment="0" applyProtection="0"/>
    <xf numFmtId="0" fontId="38" fillId="7" borderId="0" applyNumberFormat="0" applyBorder="0" applyAlignment="0" applyProtection="0"/>
    <xf numFmtId="0" fontId="72" fillId="8" borderId="0" applyNumberFormat="0" applyBorder="0" applyAlignment="0" applyProtection="0"/>
    <xf numFmtId="0" fontId="38" fillId="9" borderId="0" applyNumberFormat="0" applyBorder="0" applyAlignment="0" applyProtection="0"/>
    <xf numFmtId="0" fontId="72" fillId="10" borderId="0" applyNumberFormat="0" applyBorder="0" applyAlignment="0" applyProtection="0"/>
    <xf numFmtId="0" fontId="38" fillId="11" borderId="0" applyNumberFormat="0" applyBorder="0" applyAlignment="0" applyProtection="0"/>
    <xf numFmtId="0" fontId="72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72" fillId="14" borderId="0" applyNumberFormat="0" applyBorder="0" applyAlignment="0" applyProtection="0"/>
    <xf numFmtId="0" fontId="38" fillId="15" borderId="0" applyNumberFormat="0" applyBorder="0" applyAlignment="0" applyProtection="0"/>
    <xf numFmtId="0" fontId="72" fillId="16" borderId="0" applyNumberFormat="0" applyBorder="0" applyAlignment="0" applyProtection="0"/>
    <xf numFmtId="0" fontId="38" fillId="17" borderId="0" applyNumberFormat="0" applyBorder="0" applyAlignment="0" applyProtection="0"/>
    <xf numFmtId="0" fontId="72" fillId="18" borderId="0" applyNumberFormat="0" applyBorder="0" applyAlignment="0" applyProtection="0"/>
    <xf numFmtId="0" fontId="38" fillId="19" borderId="0" applyNumberFormat="0" applyBorder="0" applyAlignment="0" applyProtection="0"/>
    <xf numFmtId="0" fontId="72" fillId="20" borderId="0" applyNumberFormat="0" applyBorder="0" applyAlignment="0" applyProtection="0"/>
    <xf numFmtId="0" fontId="38" fillId="9" borderId="0" applyNumberFormat="0" applyBorder="0" applyAlignment="0" applyProtection="0"/>
    <xf numFmtId="0" fontId="72" fillId="21" borderId="0" applyNumberFormat="0" applyBorder="0" applyAlignment="0" applyProtection="0"/>
    <xf numFmtId="0" fontId="38" fillId="15" borderId="0" applyNumberFormat="0" applyBorder="0" applyAlignment="0" applyProtection="0"/>
    <xf numFmtId="0" fontId="72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73" fillId="24" borderId="0" applyNumberFormat="0" applyBorder="0" applyAlignment="0" applyProtection="0"/>
    <xf numFmtId="0" fontId="39" fillId="25" borderId="0" applyNumberFormat="0" applyBorder="0" applyAlignment="0" applyProtection="0"/>
    <xf numFmtId="0" fontId="73" fillId="26" borderId="0" applyNumberFormat="0" applyBorder="0" applyAlignment="0" applyProtection="0"/>
    <xf numFmtId="0" fontId="39" fillId="17" borderId="0" applyNumberFormat="0" applyBorder="0" applyAlignment="0" applyProtection="0"/>
    <xf numFmtId="0" fontId="73" fillId="27" borderId="0" applyNumberFormat="0" applyBorder="0" applyAlignment="0" applyProtection="0"/>
    <xf numFmtId="0" fontId="39" fillId="19" borderId="0" applyNumberFormat="0" applyBorder="0" applyAlignment="0" applyProtection="0"/>
    <xf numFmtId="0" fontId="73" fillId="28" borderId="0" applyNumberFormat="0" applyBorder="0" applyAlignment="0" applyProtection="0"/>
    <xf numFmtId="0" fontId="39" fillId="29" borderId="0" applyNumberFormat="0" applyBorder="0" applyAlignment="0" applyProtection="0"/>
    <xf numFmtId="0" fontId="73" fillId="30" borderId="0" applyNumberFormat="0" applyBorder="0" applyAlignment="0" applyProtection="0"/>
    <xf numFmtId="0" fontId="39" fillId="31" borderId="0" applyNumberFormat="0" applyBorder="0" applyAlignment="0" applyProtection="0"/>
    <xf numFmtId="0" fontId="73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5" fillId="0" borderId="0">
      <alignment/>
      <protection/>
    </xf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74" fillId="44" borderId="2" applyNumberFormat="0" applyAlignment="0" applyProtection="0"/>
    <xf numFmtId="0" fontId="41" fillId="45" borderId="3" applyNumberFormat="0" applyAlignment="0" applyProtection="0"/>
    <xf numFmtId="0" fontId="42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7" borderId="0" applyNumberFormat="0" applyBorder="0" applyAlignment="0" applyProtection="0"/>
    <xf numFmtId="0" fontId="75" fillId="0" borderId="4" applyNumberFormat="0" applyFill="0" applyAlignment="0" applyProtection="0"/>
    <xf numFmtId="0" fontId="43" fillId="0" borderId="5" applyNumberFormat="0" applyFill="0" applyAlignment="0" applyProtection="0"/>
    <xf numFmtId="0" fontId="76" fillId="0" borderId="6" applyNumberFormat="0" applyFill="0" applyAlignment="0" applyProtection="0"/>
    <xf numFmtId="0" fontId="44" fillId="0" borderId="7" applyNumberFormat="0" applyFill="0" applyAlignment="0" applyProtection="0"/>
    <xf numFmtId="0" fontId="77" fillId="0" borderId="8" applyNumberFormat="0" applyFill="0" applyAlignment="0" applyProtection="0"/>
    <xf numFmtId="0" fontId="45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46" borderId="12" applyNumberFormat="0" applyAlignment="0" applyProtection="0"/>
    <xf numFmtId="0" fontId="78" fillId="47" borderId="13" applyNumberFormat="0" applyAlignment="0" applyProtection="0"/>
    <xf numFmtId="0" fontId="4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42" fillId="45" borderId="1" applyNumberFormat="0" applyAlignment="0" applyProtection="0"/>
    <xf numFmtId="0" fontId="72" fillId="0" borderId="0">
      <alignment/>
      <protection/>
    </xf>
    <xf numFmtId="0" fontId="55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11" applyNumberFormat="0" applyFill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49" borderId="14" applyNumberFormat="0" applyFont="0" applyAlignment="0" applyProtection="0"/>
    <xf numFmtId="0" fontId="38" fillId="49" borderId="14" applyNumberFormat="0" applyFont="0" applyAlignment="0" applyProtection="0"/>
    <xf numFmtId="0" fontId="55" fillId="49" borderId="14" applyNumberFormat="0" applyFont="0" applyAlignment="0" applyProtection="0"/>
    <xf numFmtId="9" fontId="0" fillId="0" borderId="0" applyFont="0" applyFill="0" applyBorder="0" applyAlignment="0" applyProtection="0"/>
    <xf numFmtId="0" fontId="41" fillId="45" borderId="3" applyNumberFormat="0" applyAlignment="0" applyProtection="0"/>
    <xf numFmtId="0" fontId="82" fillId="0" borderId="15" applyNumberFormat="0" applyFill="0" applyAlignment="0" applyProtection="0"/>
    <xf numFmtId="0" fontId="49" fillId="50" borderId="0" applyNumberFormat="0" applyBorder="0" applyAlignment="0" applyProtection="0"/>
    <xf numFmtId="0" fontId="56" fillId="0" borderId="0">
      <alignment/>
      <protection/>
    </xf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5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8" fillId="0" borderId="0" xfId="111" applyFont="1" applyFill="1" applyProtection="1">
      <alignment/>
      <protection/>
    </xf>
    <xf numFmtId="0" fontId="5" fillId="0" borderId="0" xfId="111" applyFont="1" applyFill="1" applyAlignment="1" applyProtection="1">
      <alignment horizontal="left" vertical="center"/>
      <protection/>
    </xf>
    <xf numFmtId="0" fontId="10" fillId="0" borderId="0" xfId="111" applyFont="1" applyProtection="1">
      <alignment/>
      <protection/>
    </xf>
    <xf numFmtId="0" fontId="11" fillId="0" borderId="16" xfId="111" applyFont="1" applyBorder="1" applyAlignment="1" applyProtection="1">
      <alignment horizontal="center" vertical="center"/>
      <protection/>
    </xf>
    <xf numFmtId="0" fontId="8" fillId="0" borderId="0" xfId="111" applyFont="1" applyProtection="1">
      <alignment/>
      <protection/>
    </xf>
    <xf numFmtId="0" fontId="6" fillId="0" borderId="16" xfId="111" applyFont="1" applyBorder="1" applyAlignment="1" applyProtection="1">
      <alignment horizontal="center" vertical="center" wrapText="1"/>
      <protection/>
    </xf>
    <xf numFmtId="185" fontId="9" fillId="0" borderId="16" xfId="111" applyNumberFormat="1" applyFont="1" applyBorder="1" applyProtection="1">
      <alignment/>
      <protection locked="0"/>
    </xf>
    <xf numFmtId="0" fontId="6" fillId="52" borderId="16" xfId="111" applyFont="1" applyFill="1" applyBorder="1" applyAlignment="1" applyProtection="1">
      <alignment horizontal="center" vertical="center"/>
      <protection/>
    </xf>
    <xf numFmtId="0" fontId="6" fillId="52" borderId="16" xfId="111" applyFont="1" applyFill="1" applyBorder="1" applyAlignment="1" applyProtection="1">
      <alignment horizontal="center" vertical="center" wrapText="1"/>
      <protection/>
    </xf>
    <xf numFmtId="185" fontId="6" fillId="52" borderId="16" xfId="111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1" applyFont="1" applyProtection="1">
      <alignment/>
      <protection/>
    </xf>
    <xf numFmtId="0" fontId="10" fillId="0" borderId="16" xfId="111" applyFont="1" applyBorder="1" applyAlignment="1" applyProtection="1">
      <alignment horizontal="center" vertical="center"/>
      <protection/>
    </xf>
    <xf numFmtId="185" fontId="12" fillId="0" borderId="16" xfId="111" applyNumberFormat="1" applyFont="1" applyBorder="1" applyProtection="1">
      <alignment/>
      <protection locked="0"/>
    </xf>
    <xf numFmtId="49" fontId="11" fillId="0" borderId="16" xfId="111" applyNumberFormat="1" applyFont="1" applyBorder="1" applyAlignment="1" applyProtection="1">
      <alignment horizontal="center" vertical="top" wrapText="1"/>
      <protection/>
    </xf>
    <xf numFmtId="0" fontId="11" fillId="0" borderId="16" xfId="111" applyFont="1" applyBorder="1" applyAlignment="1" applyProtection="1">
      <alignment horizontal="center" vertical="top" wrapText="1"/>
      <protection/>
    </xf>
    <xf numFmtId="0" fontId="7" fillId="0" borderId="16" xfId="111" applyFont="1" applyBorder="1" applyAlignment="1" applyProtection="1">
      <alignment vertical="center" wrapText="1"/>
      <protection/>
    </xf>
    <xf numFmtId="0" fontId="16" fillId="0" borderId="0" xfId="111" applyFont="1" applyAlignment="1" applyProtection="1">
      <alignment/>
      <protection/>
    </xf>
    <xf numFmtId="0" fontId="17" fillId="0" borderId="0" xfId="111" applyFont="1" applyFill="1" applyAlignment="1" applyProtection="1">
      <alignment/>
      <protection/>
    </xf>
    <xf numFmtId="0" fontId="15" fillId="0" borderId="0" xfId="112" applyFont="1" applyAlignment="1" applyProtection="1">
      <alignment/>
      <protection/>
    </xf>
    <xf numFmtId="0" fontId="14" fillId="0" borderId="0" xfId="111" applyFont="1" applyFill="1" applyAlignment="1" applyProtection="1">
      <alignment/>
      <protection/>
    </xf>
    <xf numFmtId="0" fontId="18" fillId="0" borderId="0" xfId="111" applyFont="1" applyFill="1" applyProtection="1">
      <alignment/>
      <protection/>
    </xf>
    <xf numFmtId="0" fontId="18" fillId="0" borderId="0" xfId="111" applyFont="1" applyProtection="1">
      <alignment/>
      <protection/>
    </xf>
    <xf numFmtId="0" fontId="18" fillId="0" borderId="0" xfId="111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1" applyFont="1" applyProtection="1">
      <alignment/>
      <protection/>
    </xf>
    <xf numFmtId="194" fontId="21" fillId="0" borderId="0" xfId="111" applyNumberFormat="1" applyFont="1" applyProtection="1">
      <alignment/>
      <protection/>
    </xf>
    <xf numFmtId="0" fontId="8" fillId="0" borderId="0" xfId="111" applyFont="1" applyAlignment="1" applyProtection="1">
      <alignment horizontal="center"/>
      <protection/>
    </xf>
    <xf numFmtId="0" fontId="23" fillId="0" borderId="0" xfId="111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1" applyNumberFormat="1" applyFont="1" applyBorder="1" applyProtection="1">
      <alignment/>
      <protection/>
    </xf>
    <xf numFmtId="0" fontId="6" fillId="0" borderId="17" xfId="111" applyFont="1" applyFill="1" applyBorder="1" applyAlignment="1" applyProtection="1">
      <alignment horizontal="center" wrapText="1"/>
      <protection/>
    </xf>
    <xf numFmtId="0" fontId="8" fillId="0" borderId="0" xfId="111" applyFont="1" applyAlignment="1" applyProtection="1">
      <alignment wrapText="1"/>
      <protection/>
    </xf>
    <xf numFmtId="49" fontId="11" fillId="0" borderId="18" xfId="111" applyNumberFormat="1" applyFont="1" applyBorder="1" applyAlignment="1" applyProtection="1">
      <alignment horizontal="center" vertical="top" wrapText="1"/>
      <protection/>
    </xf>
    <xf numFmtId="185" fontId="8" fillId="0" borderId="0" xfId="111" applyNumberFormat="1" applyFont="1" applyBorder="1" applyAlignment="1" applyProtection="1">
      <alignment wrapText="1"/>
      <protection/>
    </xf>
    <xf numFmtId="185" fontId="8" fillId="0" borderId="0" xfId="111" applyNumberFormat="1" applyFont="1" applyBorder="1" applyAlignment="1" applyProtection="1">
      <alignment horizontal="center"/>
      <protection/>
    </xf>
    <xf numFmtId="185" fontId="8" fillId="0" borderId="0" xfId="111" applyNumberFormat="1" applyFont="1" applyBorder="1" applyAlignment="1" applyProtection="1">
      <alignment horizontal="center" vertical="center" wrapText="1"/>
      <protection/>
    </xf>
    <xf numFmtId="185" fontId="8" fillId="0" borderId="0" xfId="111" applyNumberFormat="1" applyFont="1" applyAlignment="1" applyProtection="1">
      <alignment wrapText="1"/>
      <protection/>
    </xf>
    <xf numFmtId="185" fontId="8" fillId="0" borderId="0" xfId="111" applyNumberFormat="1" applyFont="1" applyAlignment="1" applyProtection="1">
      <alignment horizontal="center"/>
      <protection/>
    </xf>
    <xf numFmtId="185" fontId="6" fillId="0" borderId="0" xfId="111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1" applyNumberFormat="1" applyFont="1" applyFill="1" applyBorder="1" applyProtection="1">
      <alignment/>
      <protection locked="0"/>
    </xf>
    <xf numFmtId="185" fontId="24" fillId="0" borderId="0" xfId="111" applyNumberFormat="1" applyFont="1" applyFill="1" applyBorder="1" applyProtection="1">
      <alignment/>
      <protection/>
    </xf>
    <xf numFmtId="185" fontId="25" fillId="0" borderId="0" xfId="111" applyNumberFormat="1" applyFont="1" applyFill="1" applyBorder="1" applyProtection="1">
      <alignment/>
      <protection/>
    </xf>
    <xf numFmtId="0" fontId="21" fillId="0" borderId="0" xfId="111" applyFont="1" applyFill="1" applyProtection="1">
      <alignment/>
      <protection/>
    </xf>
    <xf numFmtId="0" fontId="2" fillId="0" borderId="0" xfId="111" applyFont="1" applyFill="1" applyProtection="1">
      <alignment/>
      <protection/>
    </xf>
    <xf numFmtId="0" fontId="20" fillId="0" borderId="0" xfId="111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1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1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1" applyFont="1" applyFill="1" applyProtection="1">
      <alignment/>
      <protection/>
    </xf>
    <xf numFmtId="49" fontId="4" fillId="0" borderId="16" xfId="111" applyNumberFormat="1" applyFont="1" applyFill="1" applyBorder="1" applyAlignment="1" applyProtection="1">
      <alignment horizontal="center"/>
      <protection/>
    </xf>
    <xf numFmtId="49" fontId="22" fillId="0" borderId="16" xfId="111" applyNumberFormat="1" applyFont="1" applyFill="1" applyBorder="1" applyAlignment="1" applyProtection="1">
      <alignment horizontal="center"/>
      <protection/>
    </xf>
    <xf numFmtId="49" fontId="22" fillId="0" borderId="16" xfId="111" applyNumberFormat="1" applyFont="1" applyFill="1" applyBorder="1" applyAlignment="1" applyProtection="1">
      <alignment horizontal="center" vertical="center" wrapText="1"/>
      <protection/>
    </xf>
    <xf numFmtId="49" fontId="22" fillId="7" borderId="16" xfId="111" applyNumberFormat="1" applyFont="1" applyFill="1" applyBorder="1" applyAlignment="1" applyProtection="1">
      <alignment horizontal="center"/>
      <protection/>
    </xf>
    <xf numFmtId="49" fontId="29" fillId="0" borderId="16" xfId="111" applyNumberFormat="1" applyFont="1" applyFill="1" applyBorder="1" applyAlignment="1" applyProtection="1">
      <alignment horizontal="center" vertical="center" wrapText="1"/>
      <protection/>
    </xf>
    <xf numFmtId="49" fontId="22" fillId="52" borderId="16" xfId="111" applyNumberFormat="1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8" fillId="0" borderId="16" xfId="111" applyFont="1" applyFill="1" applyBorder="1" applyProtection="1">
      <alignment/>
      <protection locked="0"/>
    </xf>
    <xf numFmtId="194" fontId="22" fillId="52" borderId="16" xfId="111" applyNumberFormat="1" applyFont="1" applyFill="1" applyBorder="1" applyAlignment="1" applyProtection="1">
      <alignment horizontal="right"/>
      <protection/>
    </xf>
    <xf numFmtId="194" fontId="8" fillId="0" borderId="0" xfId="111" applyNumberFormat="1" applyFont="1" applyFill="1" applyProtection="1">
      <alignment/>
      <protection/>
    </xf>
    <xf numFmtId="49" fontId="22" fillId="53" borderId="16" xfId="111" applyNumberFormat="1" applyFont="1" applyFill="1" applyBorder="1" applyAlignment="1" applyProtection="1">
      <alignment horizontal="center" vertical="center" wrapText="1"/>
      <protection/>
    </xf>
    <xf numFmtId="0" fontId="20" fillId="53" borderId="0" xfId="111" applyFont="1" applyFill="1" applyProtection="1">
      <alignment/>
      <protection/>
    </xf>
    <xf numFmtId="0" fontId="21" fillId="53" borderId="0" xfId="111" applyFont="1" applyFill="1" applyProtection="1">
      <alignment/>
      <protection/>
    </xf>
    <xf numFmtId="0" fontId="2" fillId="53" borderId="0" xfId="111" applyFont="1" applyFill="1" applyProtection="1">
      <alignment/>
      <protection/>
    </xf>
    <xf numFmtId="49" fontId="11" fillId="53" borderId="16" xfId="111" applyNumberFormat="1" applyFont="1" applyFill="1" applyBorder="1" applyAlignment="1" applyProtection="1">
      <alignment horizontal="center" vertical="top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0" fontId="18" fillId="53" borderId="0" xfId="111" applyFont="1" applyFill="1" applyProtection="1">
      <alignment/>
      <protection/>
    </xf>
    <xf numFmtId="185" fontId="24" fillId="53" borderId="0" xfId="111" applyNumberFormat="1" applyFont="1" applyFill="1" applyBorder="1" applyProtection="1">
      <alignment/>
      <protection/>
    </xf>
    <xf numFmtId="0" fontId="8" fillId="53" borderId="0" xfId="111" applyFont="1" applyFill="1" applyProtection="1">
      <alignment/>
      <protection/>
    </xf>
    <xf numFmtId="0" fontId="6" fillId="52" borderId="16" xfId="111" applyNumberFormat="1" applyFont="1" applyFill="1" applyBorder="1" applyAlignment="1" applyProtection="1">
      <alignment horizontal="center"/>
      <protection/>
    </xf>
    <xf numFmtId="185" fontId="25" fillId="53" borderId="0" xfId="111" applyNumberFormat="1" applyFont="1" applyFill="1" applyBorder="1" applyProtection="1">
      <alignment/>
      <protection/>
    </xf>
    <xf numFmtId="0" fontId="6" fillId="0" borderId="0" xfId="111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18" fillId="0" borderId="0" xfId="111" applyNumberFormat="1" applyFont="1" applyProtection="1">
      <alignment/>
      <protection/>
    </xf>
    <xf numFmtId="194" fontId="8" fillId="0" borderId="0" xfId="111" applyNumberFormat="1" applyFont="1" applyProtection="1">
      <alignment/>
      <protection/>
    </xf>
    <xf numFmtId="194" fontId="12" fillId="0" borderId="16" xfId="111" applyNumberFormat="1" applyFont="1" applyBorder="1" applyProtection="1">
      <alignment/>
      <protection locked="0"/>
    </xf>
    <xf numFmtId="194" fontId="6" fillId="0" borderId="16" xfId="111" applyNumberFormat="1" applyFont="1" applyFill="1" applyBorder="1" applyProtection="1">
      <alignment/>
      <protection/>
    </xf>
    <xf numFmtId="194" fontId="12" fillId="0" borderId="16" xfId="111" applyNumberFormat="1" applyFont="1" applyBorder="1" applyProtection="1">
      <alignment/>
      <protection/>
    </xf>
    <xf numFmtId="194" fontId="11" fillId="0" borderId="16" xfId="111" applyNumberFormat="1" applyFont="1" applyBorder="1" applyProtection="1">
      <alignment/>
      <protection/>
    </xf>
    <xf numFmtId="194" fontId="8" fillId="0" borderId="16" xfId="111" applyNumberFormat="1" applyFont="1" applyFill="1" applyBorder="1" applyProtection="1">
      <alignment/>
      <protection/>
    </xf>
    <xf numFmtId="0" fontId="5" fillId="0" borderId="16" xfId="111" applyFont="1" applyFill="1" applyBorder="1" applyAlignment="1" applyProtection="1">
      <alignment horizontal="center" vertical="center" wrapText="1"/>
      <protection/>
    </xf>
    <xf numFmtId="185" fontId="5" fillId="0" borderId="16" xfId="111" applyNumberFormat="1" applyFont="1" applyFill="1" applyBorder="1" applyProtection="1">
      <alignment/>
      <protection/>
    </xf>
    <xf numFmtId="0" fontId="31" fillId="0" borderId="16" xfId="111" applyFont="1" applyFill="1" applyBorder="1" applyAlignment="1" applyProtection="1">
      <alignment vertical="center" wrapText="1"/>
      <protection/>
    </xf>
    <xf numFmtId="185" fontId="31" fillId="0" borderId="16" xfId="111" applyNumberFormat="1" applyFont="1" applyFill="1" applyBorder="1" applyProtection="1">
      <alignment/>
      <protection locked="0"/>
    </xf>
    <xf numFmtId="185" fontId="5" fillId="0" borderId="16" xfId="111" applyNumberFormat="1" applyFont="1" applyFill="1" applyBorder="1" applyProtection="1">
      <alignment/>
      <protection locked="0"/>
    </xf>
    <xf numFmtId="185" fontId="32" fillId="0" borderId="16" xfId="111" applyNumberFormat="1" applyFont="1" applyFill="1" applyBorder="1" applyProtection="1">
      <alignment/>
      <protection locked="0"/>
    </xf>
    <xf numFmtId="0" fontId="5" fillId="53" borderId="16" xfId="111" applyFont="1" applyFill="1" applyBorder="1" applyAlignment="1" applyProtection="1">
      <alignment horizontal="center" vertical="center" wrapText="1"/>
      <protection/>
    </xf>
    <xf numFmtId="185" fontId="5" fillId="53" borderId="16" xfId="111" applyNumberFormat="1" applyFont="1" applyFill="1" applyBorder="1" applyProtection="1">
      <alignment/>
      <protection locked="0"/>
    </xf>
    <xf numFmtId="185" fontId="30" fillId="0" borderId="16" xfId="111" applyNumberFormat="1" applyFont="1" applyFill="1" applyBorder="1" applyProtection="1">
      <alignment/>
      <protection locked="0"/>
    </xf>
    <xf numFmtId="185" fontId="30" fillId="53" borderId="16" xfId="111" applyNumberFormat="1" applyFont="1" applyFill="1" applyBorder="1" applyProtection="1">
      <alignment/>
      <protection locked="0"/>
    </xf>
    <xf numFmtId="0" fontId="5" fillId="52" borderId="16" xfId="111" applyFont="1" applyFill="1" applyBorder="1" applyAlignment="1" applyProtection="1">
      <alignment horizontal="center" vertical="center" wrapText="1"/>
      <protection/>
    </xf>
    <xf numFmtId="185" fontId="5" fillId="52" borderId="16" xfId="111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1" applyFont="1" applyFill="1" applyBorder="1" applyAlignment="1" applyProtection="1">
      <alignment horizontal="center" vertical="center" wrapText="1"/>
      <protection/>
    </xf>
    <xf numFmtId="194" fontId="5" fillId="52" borderId="16" xfId="111" applyNumberFormat="1" applyFont="1" applyFill="1" applyBorder="1" applyAlignment="1" applyProtection="1">
      <alignment horizontal="left"/>
      <protection/>
    </xf>
    <xf numFmtId="0" fontId="5" fillId="0" borderId="16" xfId="111" applyFont="1" applyFill="1" applyBorder="1" applyAlignment="1" applyProtection="1">
      <alignment horizontal="left" wrapText="1"/>
      <protection/>
    </xf>
    <xf numFmtId="0" fontId="35" fillId="0" borderId="16" xfId="111" applyFont="1" applyFill="1" applyBorder="1" applyAlignment="1" applyProtection="1">
      <alignment vertical="center" wrapText="1"/>
      <protection/>
    </xf>
    <xf numFmtId="0" fontId="5" fillId="0" borderId="16" xfId="111" applyFont="1" applyFill="1" applyBorder="1" applyAlignment="1" applyProtection="1">
      <alignment horizontal="left"/>
      <protection/>
    </xf>
    <xf numFmtId="0" fontId="5" fillId="0" borderId="16" xfId="111" applyFont="1" applyFill="1" applyBorder="1" applyAlignment="1" applyProtection="1">
      <alignment horizontal="left" vertical="center" wrapText="1"/>
      <protection/>
    </xf>
    <xf numFmtId="0" fontId="33" fillId="0" borderId="16" xfId="111" applyFont="1" applyFill="1" applyBorder="1" applyAlignment="1" applyProtection="1">
      <alignment horizontal="left" vertical="center" wrapText="1"/>
      <protection/>
    </xf>
    <xf numFmtId="0" fontId="33" fillId="53" borderId="16" xfId="111" applyFont="1" applyFill="1" applyBorder="1" applyAlignment="1" applyProtection="1">
      <alignment horizontal="left" vertical="center" wrapText="1"/>
      <protection/>
    </xf>
    <xf numFmtId="0" fontId="35" fillId="0" borderId="16" xfId="111" applyFont="1" applyFill="1" applyBorder="1" applyAlignment="1" applyProtection="1">
      <alignment horizontal="left" vertical="center" wrapText="1"/>
      <protection/>
    </xf>
    <xf numFmtId="0" fontId="33" fillId="7" borderId="16" xfId="111" applyFont="1" applyFill="1" applyBorder="1" applyAlignment="1" applyProtection="1">
      <alignment horizontal="center" vertical="center" wrapText="1"/>
      <protection/>
    </xf>
    <xf numFmtId="0" fontId="33" fillId="52" borderId="16" xfId="11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1" applyNumberFormat="1" applyFont="1" applyFill="1" applyBorder="1" applyAlignment="1" applyProtection="1">
      <alignment horizontal="left"/>
      <protection/>
    </xf>
    <xf numFmtId="0" fontId="30" fillId="0" borderId="16" xfId="111" applyFont="1" applyFill="1" applyBorder="1" applyAlignment="1" applyProtection="1">
      <alignment vertical="center" wrapText="1"/>
      <protection/>
    </xf>
    <xf numFmtId="4" fontId="8" fillId="0" borderId="0" xfId="111" applyNumberFormat="1" applyFont="1" applyProtection="1">
      <alignment/>
      <protection/>
    </xf>
    <xf numFmtId="194" fontId="5" fillId="53" borderId="16" xfId="111" applyNumberFormat="1" applyFont="1" applyFill="1" applyBorder="1" applyAlignment="1" applyProtection="1">
      <alignment horizontal="center"/>
      <protection/>
    </xf>
    <xf numFmtId="194" fontId="5" fillId="0" borderId="16" xfId="111" applyNumberFormat="1" applyFont="1" applyFill="1" applyBorder="1" applyAlignment="1" applyProtection="1">
      <alignment horizontal="center"/>
      <protection/>
    </xf>
    <xf numFmtId="194" fontId="31" fillId="53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/>
    </xf>
    <xf numFmtId="194" fontId="33" fillId="7" borderId="16" xfId="111" applyNumberFormat="1" applyFont="1" applyFill="1" applyBorder="1" applyAlignment="1" applyProtection="1">
      <alignment horizontal="center" vertical="center" wrapText="1"/>
      <protection/>
    </xf>
    <xf numFmtId="194" fontId="33" fillId="52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Border="1" applyAlignment="1" applyProtection="1">
      <alignment horizontal="center"/>
      <protection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1" applyNumberFormat="1" applyFont="1" applyFill="1" applyBorder="1" applyAlignment="1" applyProtection="1">
      <alignment horizontal="center"/>
      <protection/>
    </xf>
    <xf numFmtId="194" fontId="30" fillId="0" borderId="16" xfId="111" applyNumberFormat="1" applyFont="1" applyFill="1" applyBorder="1" applyAlignment="1" applyProtection="1">
      <alignment horizontal="center"/>
      <protection/>
    </xf>
    <xf numFmtId="194" fontId="31" fillId="0" borderId="16" xfId="111" applyNumberFormat="1" applyFont="1" applyFill="1" applyBorder="1" applyAlignment="1" applyProtection="1">
      <alignment horizontal="center"/>
      <protection locked="0"/>
    </xf>
    <xf numFmtId="194" fontId="31" fillId="0" borderId="18" xfId="111" applyNumberFormat="1" applyFont="1" applyFill="1" applyBorder="1" applyAlignment="1" applyProtection="1">
      <alignment horizontal="center"/>
      <protection/>
    </xf>
    <xf numFmtId="194" fontId="31" fillId="53" borderId="16" xfId="111" applyNumberFormat="1" applyFont="1" applyFill="1" applyBorder="1" applyAlignment="1" applyProtection="1">
      <alignment horizontal="center"/>
      <protection locked="0"/>
    </xf>
    <xf numFmtId="194" fontId="31" fillId="53" borderId="21" xfId="111" applyNumberFormat="1" applyFont="1" applyFill="1" applyBorder="1" applyAlignment="1" applyProtection="1">
      <alignment horizontal="center"/>
      <protection locked="0"/>
    </xf>
    <xf numFmtId="194" fontId="5" fillId="52" borderId="16" xfId="111" applyNumberFormat="1" applyFont="1" applyFill="1" applyBorder="1" applyAlignment="1" applyProtection="1">
      <alignment horizontal="center"/>
      <protection/>
    </xf>
    <xf numFmtId="194" fontId="30" fillId="0" borderId="16" xfId="111" applyNumberFormat="1" applyFont="1" applyFill="1" applyBorder="1" applyAlignment="1" applyProtection="1">
      <alignment horizontal="center"/>
      <protection locked="0"/>
    </xf>
    <xf numFmtId="194" fontId="31" fillId="54" borderId="16" xfId="111" applyNumberFormat="1" applyFont="1" applyFill="1" applyBorder="1" applyAlignment="1" applyProtection="1">
      <alignment horizontal="center"/>
      <protection/>
    </xf>
    <xf numFmtId="0" fontId="36" fillId="53" borderId="22" xfId="0" applyFont="1" applyFill="1" applyBorder="1" applyAlignment="1">
      <alignment horizontal="left" vertical="center" wrapText="1"/>
    </xf>
    <xf numFmtId="194" fontId="5" fillId="0" borderId="16" xfId="111" applyNumberFormat="1" applyFont="1" applyFill="1" applyBorder="1" applyAlignment="1" applyProtection="1">
      <alignment horizontal="center"/>
      <protection locked="0"/>
    </xf>
    <xf numFmtId="204" fontId="5" fillId="0" borderId="16" xfId="121" applyNumberFormat="1" applyFont="1" applyFill="1" applyBorder="1" applyAlignment="1" applyProtection="1">
      <alignment horizontal="center"/>
      <protection/>
    </xf>
    <xf numFmtId="204" fontId="32" fillId="0" borderId="16" xfId="121" applyNumberFormat="1" applyFont="1" applyFill="1" applyBorder="1" applyAlignment="1" applyProtection="1">
      <alignment horizontal="center"/>
      <protection/>
    </xf>
    <xf numFmtId="204" fontId="5" fillId="52" borderId="16" xfId="121" applyNumberFormat="1" applyFont="1" applyFill="1" applyBorder="1" applyAlignment="1" applyProtection="1">
      <alignment horizontal="center"/>
      <protection/>
    </xf>
    <xf numFmtId="204" fontId="5" fillId="53" borderId="16" xfId="121" applyNumberFormat="1" applyFont="1" applyFill="1" applyBorder="1" applyAlignment="1" applyProtection="1">
      <alignment horizontal="center"/>
      <protection/>
    </xf>
    <xf numFmtId="204" fontId="33" fillId="7" borderId="16" xfId="121" applyNumberFormat="1" applyFont="1" applyFill="1" applyBorder="1" applyAlignment="1" applyProtection="1">
      <alignment horizontal="center" vertical="center" wrapText="1"/>
      <protection/>
    </xf>
    <xf numFmtId="204" fontId="33" fillId="52" borderId="16" xfId="121" applyNumberFormat="1" applyFont="1" applyFill="1" applyBorder="1" applyAlignment="1" applyProtection="1">
      <alignment horizontal="center"/>
      <protection/>
    </xf>
    <xf numFmtId="49" fontId="29" fillId="0" borderId="16" xfId="111" applyNumberFormat="1" applyFont="1" applyFill="1" applyBorder="1" applyAlignment="1" applyProtection="1">
      <alignment horizontal="center" vertical="center" wrapText="1"/>
      <protection/>
    </xf>
    <xf numFmtId="0" fontId="6" fillId="0" borderId="16" xfId="111" applyFont="1" applyFill="1" applyBorder="1" applyAlignment="1" applyProtection="1">
      <alignment horizontal="center" vertical="center"/>
      <protection/>
    </xf>
    <xf numFmtId="0" fontId="8" fillId="0" borderId="16" xfId="11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1" applyFont="1" applyFill="1" applyBorder="1" applyAlignment="1" applyProtection="1">
      <alignment horizontal="center" vertical="center"/>
      <protection/>
    </xf>
    <xf numFmtId="49" fontId="4" fillId="0" borderId="16" xfId="111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1" applyFont="1" applyFill="1" applyBorder="1" applyAlignment="1" applyProtection="1">
      <alignment vertical="center" wrapText="1"/>
      <protection/>
    </xf>
    <xf numFmtId="0" fontId="31" fillId="0" borderId="0" xfId="111" applyFont="1" applyFill="1" applyBorder="1" applyAlignment="1" applyProtection="1">
      <alignment horizontal="left" vertical="center" wrapText="1"/>
      <protection/>
    </xf>
    <xf numFmtId="49" fontId="11" fillId="0" borderId="16" xfId="111" applyNumberFormat="1" applyFont="1" applyFill="1" applyBorder="1" applyAlignment="1" applyProtection="1">
      <alignment horizontal="center" vertical="top" wrapText="1"/>
      <protection/>
    </xf>
    <xf numFmtId="194" fontId="14" fillId="0" borderId="0" xfId="113" applyNumberFormat="1" applyFont="1" applyFill="1" applyAlignment="1" applyProtection="1">
      <alignment horizontal="center"/>
      <protection/>
    </xf>
    <xf numFmtId="4" fontId="18" fillId="0" borderId="0" xfId="111" applyNumberFormat="1" applyFont="1" applyFill="1" applyProtection="1">
      <alignment/>
      <protection/>
    </xf>
    <xf numFmtId="4" fontId="27" fillId="0" borderId="0" xfId="111" applyNumberFormat="1" applyFont="1" applyFill="1" applyProtection="1">
      <alignment/>
      <protection/>
    </xf>
    <xf numFmtId="0" fontId="27" fillId="0" borderId="0" xfId="111" applyFont="1" applyFill="1" applyProtection="1">
      <alignment/>
      <protection/>
    </xf>
    <xf numFmtId="204" fontId="5" fillId="54" borderId="16" xfId="121" applyNumberFormat="1" applyFont="1" applyFill="1" applyBorder="1" applyAlignment="1" applyProtection="1">
      <alignment horizontal="center"/>
      <protection/>
    </xf>
    <xf numFmtId="204" fontId="32" fillId="54" borderId="16" xfId="121" applyNumberFormat="1" applyFont="1" applyFill="1" applyBorder="1" applyAlignment="1" applyProtection="1">
      <alignment horizontal="center"/>
      <protection/>
    </xf>
    <xf numFmtId="0" fontId="35" fillId="54" borderId="16" xfId="111" applyFont="1" applyFill="1" applyBorder="1" applyAlignment="1" applyProtection="1">
      <alignment vertical="center" wrapText="1"/>
      <protection/>
    </xf>
    <xf numFmtId="204" fontId="37" fillId="54" borderId="16" xfId="121" applyNumberFormat="1" applyFont="1" applyFill="1" applyBorder="1" applyAlignment="1" applyProtection="1">
      <alignment horizontal="center" vertical="center" wrapText="1"/>
      <protection/>
    </xf>
    <xf numFmtId="194" fontId="33" fillId="52" borderId="16" xfId="111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5" fillId="7" borderId="0" xfId="111" applyFont="1" applyFill="1" applyProtection="1">
      <alignment/>
      <protection/>
    </xf>
    <xf numFmtId="185" fontId="8" fillId="53" borderId="0" xfId="111" applyNumberFormat="1" applyFont="1" applyFill="1" applyProtection="1">
      <alignment/>
      <protection/>
    </xf>
    <xf numFmtId="0" fontId="28" fillId="0" borderId="0" xfId="111" applyFont="1" applyAlignment="1" applyProtection="1">
      <alignment/>
      <protection/>
    </xf>
    <xf numFmtId="0" fontId="5" fillId="0" borderId="0" xfId="111" applyFont="1" applyFill="1" applyAlignment="1" applyProtection="1">
      <alignment/>
      <protection/>
    </xf>
    <xf numFmtId="0" fontId="4" fillId="0" borderId="0" xfId="112" applyFont="1" applyAlignment="1" applyProtection="1">
      <alignment/>
      <protection/>
    </xf>
    <xf numFmtId="0" fontId="6" fillId="0" borderId="0" xfId="111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1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85" fillId="0" borderId="0" xfId="111" applyNumberFormat="1" applyFont="1" applyFill="1" applyProtection="1">
      <alignment/>
      <protection/>
    </xf>
    <xf numFmtId="0" fontId="85" fillId="0" borderId="0" xfId="111" applyFont="1" applyFill="1" applyProtection="1">
      <alignment/>
      <protection/>
    </xf>
    <xf numFmtId="185" fontId="85" fillId="53" borderId="0" xfId="111" applyNumberFormat="1" applyFont="1" applyFill="1" applyProtection="1">
      <alignment/>
      <protection/>
    </xf>
    <xf numFmtId="194" fontId="85" fillId="53" borderId="0" xfId="111" applyNumberFormat="1" applyFont="1" applyFill="1" applyProtection="1">
      <alignment/>
      <protection/>
    </xf>
    <xf numFmtId="204" fontId="86" fillId="52" borderId="16" xfId="121" applyNumberFormat="1" applyFont="1" applyFill="1" applyBorder="1" applyAlignment="1" applyProtection="1">
      <alignment horizontal="center"/>
      <protection/>
    </xf>
    <xf numFmtId="194" fontId="87" fillId="0" borderId="16" xfId="111" applyNumberFormat="1" applyFont="1" applyBorder="1" applyProtection="1">
      <alignment/>
      <protection locked="0"/>
    </xf>
    <xf numFmtId="194" fontId="88" fillId="55" borderId="16" xfId="111" applyNumberFormat="1" applyFont="1" applyFill="1" applyBorder="1" applyProtection="1">
      <alignment/>
      <protection/>
    </xf>
    <xf numFmtId="194" fontId="87" fillId="55" borderId="16" xfId="111" applyNumberFormat="1" applyFont="1" applyFill="1" applyBorder="1" applyProtection="1">
      <alignment/>
      <protection locked="0"/>
    </xf>
    <xf numFmtId="194" fontId="89" fillId="0" borderId="16" xfId="111" applyNumberFormat="1" applyFont="1" applyBorder="1" applyProtection="1">
      <alignment/>
      <protection/>
    </xf>
    <xf numFmtId="194" fontId="89" fillId="55" borderId="16" xfId="111" applyNumberFormat="1" applyFont="1" applyFill="1" applyBorder="1" applyProtection="1">
      <alignment/>
      <protection/>
    </xf>
    <xf numFmtId="194" fontId="90" fillId="0" borderId="16" xfId="0" applyNumberFormat="1" applyFont="1" applyFill="1" applyBorder="1" applyAlignment="1">
      <alignment vertical="center"/>
    </xf>
    <xf numFmtId="194" fontId="90" fillId="55" borderId="16" xfId="0" applyNumberFormat="1" applyFont="1" applyFill="1" applyBorder="1" applyAlignment="1">
      <alignment/>
    </xf>
    <xf numFmtId="194" fontId="85" fillId="0" borderId="0" xfId="111" applyNumberFormat="1" applyFont="1" applyProtection="1">
      <alignment/>
      <protection/>
    </xf>
    <xf numFmtId="194" fontId="85" fillId="0" borderId="0" xfId="111" applyNumberFormat="1" applyFont="1" applyBorder="1" applyProtection="1">
      <alignment/>
      <protection/>
    </xf>
    <xf numFmtId="194" fontId="88" fillId="0" borderId="0" xfId="0" applyNumberFormat="1" applyFont="1" applyFill="1" applyBorder="1" applyAlignment="1" applyProtection="1">
      <alignment vertical="center"/>
      <protection/>
    </xf>
    <xf numFmtId="194" fontId="85" fillId="53" borderId="0" xfId="111" applyNumberFormat="1" applyFont="1" applyFill="1" applyBorder="1" applyProtection="1">
      <alignment/>
      <protection/>
    </xf>
    <xf numFmtId="185" fontId="85" fillId="0" borderId="0" xfId="111" applyNumberFormat="1" applyFont="1" applyProtection="1">
      <alignment/>
      <protection/>
    </xf>
    <xf numFmtId="185" fontId="85" fillId="0" borderId="0" xfId="111" applyNumberFormat="1" applyFont="1" applyBorder="1" applyProtection="1">
      <alignment/>
      <protection/>
    </xf>
    <xf numFmtId="0" fontId="85" fillId="0" borderId="0" xfId="111" applyFont="1" applyProtection="1">
      <alignment/>
      <protection/>
    </xf>
    <xf numFmtId="0" fontId="85" fillId="55" borderId="0" xfId="111" applyFont="1" applyFill="1" applyProtection="1">
      <alignment/>
      <protection/>
    </xf>
    <xf numFmtId="0" fontId="85" fillId="0" borderId="0" xfId="111" applyFont="1" applyBorder="1" applyProtection="1">
      <alignment/>
      <protection/>
    </xf>
    <xf numFmtId="0" fontId="88" fillId="0" borderId="0" xfId="111" applyFont="1" applyFill="1" applyAlignment="1" applyProtection="1">
      <alignment horizontal="center" wrapText="1"/>
      <protection/>
    </xf>
    <xf numFmtId="2" fontId="85" fillId="0" borderId="0" xfId="111" applyNumberFormat="1" applyFont="1" applyFill="1" applyProtection="1">
      <alignment/>
      <protection/>
    </xf>
    <xf numFmtId="194" fontId="88" fillId="0" borderId="0" xfId="113" applyNumberFormat="1" applyFont="1" applyAlignment="1" applyProtection="1">
      <alignment horizontal="center"/>
      <protection/>
    </xf>
    <xf numFmtId="185" fontId="85" fillId="0" borderId="0" xfId="111" applyNumberFormat="1" applyFont="1" applyFill="1" applyProtection="1">
      <alignment/>
      <protection/>
    </xf>
    <xf numFmtId="4" fontId="88" fillId="53" borderId="0" xfId="111" applyNumberFormat="1" applyFont="1" applyFill="1" applyBorder="1" applyAlignment="1" applyProtection="1">
      <alignment horizontal="centerContinuous" vertical="center"/>
      <protection/>
    </xf>
    <xf numFmtId="4" fontId="88" fillId="0" borderId="0" xfId="111" applyNumberFormat="1" applyFont="1" applyBorder="1" applyAlignment="1" applyProtection="1">
      <alignment horizontal="centerContinuous" vertical="center"/>
      <protection/>
    </xf>
    <xf numFmtId="4" fontId="85" fillId="0" borderId="0" xfId="111" applyNumberFormat="1" applyFont="1" applyBorder="1" applyAlignment="1" applyProtection="1">
      <alignment horizontal="centerContinuous" vertical="center"/>
      <protection/>
    </xf>
    <xf numFmtId="4" fontId="85" fillId="0" borderId="0" xfId="111" applyNumberFormat="1" applyFont="1" applyFill="1" applyBorder="1" applyAlignment="1" applyProtection="1">
      <alignment horizontal="centerContinuous" vertical="center"/>
      <protection/>
    </xf>
    <xf numFmtId="4" fontId="85" fillId="53" borderId="0" xfId="111" applyNumberFormat="1" applyFont="1" applyFill="1" applyBorder="1" applyAlignment="1" applyProtection="1">
      <alignment horizontal="centerContinuous" vertical="center"/>
      <protection/>
    </xf>
    <xf numFmtId="185" fontId="85" fillId="0" borderId="0" xfId="111" applyNumberFormat="1" applyFont="1" applyBorder="1" applyAlignment="1" applyProtection="1">
      <alignment horizontal="center" vertical="center" wrapText="1"/>
      <protection/>
    </xf>
    <xf numFmtId="4" fontId="85" fillId="0" borderId="0" xfId="111" applyNumberFormat="1" applyFont="1" applyFill="1" applyBorder="1" applyProtection="1">
      <alignment/>
      <protection/>
    </xf>
    <xf numFmtId="0" fontId="85" fillId="0" borderId="0" xfId="111" applyFont="1" applyFill="1" applyBorder="1" applyProtection="1">
      <alignment/>
      <protection/>
    </xf>
    <xf numFmtId="194" fontId="85" fillId="0" borderId="0" xfId="111" applyNumberFormat="1" applyFont="1" applyFill="1" applyBorder="1" applyProtection="1">
      <alignment/>
      <protection/>
    </xf>
    <xf numFmtId="194" fontId="88" fillId="53" borderId="0" xfId="111" applyNumberFormat="1" applyFont="1" applyFill="1" applyBorder="1" applyAlignment="1" applyProtection="1">
      <alignment horizontal="center" wrapText="1"/>
      <protection/>
    </xf>
    <xf numFmtId="194" fontId="88" fillId="0" borderId="0" xfId="111" applyNumberFormat="1" applyFont="1" applyFill="1" applyBorder="1" applyAlignment="1" applyProtection="1">
      <alignment horizontal="center" wrapText="1"/>
      <protection/>
    </xf>
    <xf numFmtId="4" fontId="88" fillId="0" borderId="0" xfId="111" applyNumberFormat="1" applyFont="1" applyFill="1" applyBorder="1" applyAlignment="1" applyProtection="1">
      <alignment horizontal="centerContinuous" vertical="center"/>
      <protection/>
    </xf>
    <xf numFmtId="185" fontId="85" fillId="53" borderId="0" xfId="111" applyNumberFormat="1" applyFont="1" applyFill="1" applyBorder="1" applyAlignment="1" applyProtection="1">
      <alignment horizontal="center" vertical="center" wrapText="1"/>
      <protection/>
    </xf>
    <xf numFmtId="185" fontId="85" fillId="0" borderId="0" xfId="111" applyNumberFormat="1" applyFont="1" applyFill="1" applyBorder="1" applyAlignment="1" applyProtection="1">
      <alignment horizontal="center" vertical="center" wrapText="1"/>
      <protection/>
    </xf>
    <xf numFmtId="185" fontId="85" fillId="53" borderId="0" xfId="111" applyNumberFormat="1" applyFont="1" applyFill="1" applyBorder="1" applyAlignment="1" applyProtection="1">
      <alignment horizontal="center"/>
      <protection/>
    </xf>
    <xf numFmtId="185" fontId="85" fillId="0" borderId="0" xfId="111" applyNumberFormat="1" applyFont="1" applyFill="1" applyBorder="1" applyAlignment="1" applyProtection="1">
      <alignment horizontal="center"/>
      <protection/>
    </xf>
    <xf numFmtId="185" fontId="85" fillId="53" borderId="0" xfId="111" applyNumberFormat="1" applyFont="1" applyFill="1" applyAlignment="1" applyProtection="1">
      <alignment horizontal="center"/>
      <protection/>
    </xf>
    <xf numFmtId="185" fontId="85" fillId="0" borderId="0" xfId="111" applyNumberFormat="1" applyFont="1" applyFill="1" applyAlignment="1" applyProtection="1">
      <alignment horizontal="center"/>
      <protection/>
    </xf>
    <xf numFmtId="0" fontId="85" fillId="53" borderId="0" xfId="111" applyFont="1" applyFill="1" applyAlignment="1" applyProtection="1">
      <alignment horizontal="center"/>
      <protection/>
    </xf>
    <xf numFmtId="0" fontId="85" fillId="0" borderId="0" xfId="111" applyFont="1" applyFill="1" applyAlignment="1" applyProtection="1">
      <alignment horizontal="center"/>
      <protection/>
    </xf>
    <xf numFmtId="0" fontId="11" fillId="0" borderId="19" xfId="11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204" fontId="31" fillId="0" borderId="16" xfId="121" applyNumberFormat="1" applyFont="1" applyFill="1" applyBorder="1" applyAlignment="1" applyProtection="1">
      <alignment horizontal="center"/>
      <protection/>
    </xf>
    <xf numFmtId="204" fontId="35" fillId="54" borderId="16" xfId="121" applyNumberFormat="1" applyFont="1" applyFill="1" applyBorder="1" applyAlignment="1" applyProtection="1">
      <alignment horizontal="center" vertical="center" wrapText="1"/>
      <protection/>
    </xf>
    <xf numFmtId="204" fontId="35" fillId="54" borderId="16" xfId="121" applyNumberFormat="1" applyFont="1" applyFill="1" applyBorder="1" applyAlignment="1" applyProtection="1">
      <alignment horizontal="center" wrapText="1"/>
      <protection/>
    </xf>
    <xf numFmtId="204" fontId="33" fillId="54" borderId="16" xfId="121" applyNumberFormat="1" applyFont="1" applyFill="1" applyBorder="1" applyAlignment="1" applyProtection="1">
      <alignment horizontal="center"/>
      <protection/>
    </xf>
    <xf numFmtId="0" fontId="11" fillId="0" borderId="16" xfId="111" applyFont="1" applyFill="1" applyBorder="1" applyAlignment="1" applyProtection="1">
      <alignment horizontal="center" vertical="center" wrapText="1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1" applyNumberFormat="1" applyFont="1" applyFill="1" applyBorder="1" applyAlignment="1" applyProtection="1">
      <alignment horizontal="center"/>
      <protection/>
    </xf>
    <xf numFmtId="49" fontId="58" fillId="0" borderId="16" xfId="0" applyNumberFormat="1" applyFont="1" applyFill="1" applyBorder="1" applyAlignment="1">
      <alignment horizontal="center" vertical="center"/>
    </xf>
    <xf numFmtId="0" fontId="7" fillId="0" borderId="0" xfId="111" applyFont="1" applyFill="1" applyProtection="1">
      <alignment/>
      <protection/>
    </xf>
    <xf numFmtId="0" fontId="59" fillId="0" borderId="0" xfId="111" applyFont="1" applyFill="1" applyProtection="1">
      <alignment/>
      <protection/>
    </xf>
    <xf numFmtId="0" fontId="60" fillId="0" borderId="0" xfId="111" applyFont="1" applyFill="1" applyProtection="1">
      <alignment/>
      <protection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58" fillId="54" borderId="16" xfId="0" applyNumberFormat="1" applyFont="1" applyFill="1" applyBorder="1" applyAlignment="1" applyProtection="1">
      <alignment horizontal="center" vertical="center"/>
      <protection hidden="1"/>
    </xf>
    <xf numFmtId="49" fontId="61" fillId="0" borderId="16" xfId="111" applyNumberFormat="1" applyFont="1" applyFill="1" applyBorder="1" applyAlignment="1" applyProtection="1">
      <alignment horizontal="center" vertical="center" wrapText="1"/>
      <protection/>
    </xf>
    <xf numFmtId="0" fontId="58" fillId="53" borderId="16" xfId="111" applyFont="1" applyFill="1" applyBorder="1" applyAlignment="1" applyProtection="1">
      <alignment horizontal="center" vertical="center"/>
      <protection locked="0"/>
    </xf>
    <xf numFmtId="0" fontId="91" fillId="7" borderId="0" xfId="111" applyFont="1" applyFill="1" applyProtection="1">
      <alignment/>
      <protection/>
    </xf>
    <xf numFmtId="0" fontId="7" fillId="0" borderId="16" xfId="111" applyFont="1" applyFill="1" applyBorder="1" applyAlignment="1" applyProtection="1">
      <alignment horizontal="center" vertical="center"/>
      <protection/>
    </xf>
    <xf numFmtId="204" fontId="31" fillId="54" borderId="16" xfId="121" applyNumberFormat="1" applyFont="1" applyFill="1" applyBorder="1" applyAlignment="1" applyProtection="1">
      <alignment horizontal="center"/>
      <protection/>
    </xf>
    <xf numFmtId="204" fontId="30" fillId="54" borderId="16" xfId="121" applyNumberFormat="1" applyFont="1" applyFill="1" applyBorder="1" applyAlignment="1" applyProtection="1">
      <alignment horizontal="center"/>
      <protection/>
    </xf>
    <xf numFmtId="194" fontId="92" fillId="0" borderId="16" xfId="0" applyNumberFormat="1" applyFont="1" applyFill="1" applyBorder="1" applyAlignment="1">
      <alignment horizontal="center"/>
    </xf>
    <xf numFmtId="194" fontId="86" fillId="0" borderId="0" xfId="111" applyNumberFormat="1" applyFont="1" applyFill="1" applyAlignment="1" applyProtection="1">
      <alignment horizontal="left" vertical="center"/>
      <protection/>
    </xf>
    <xf numFmtId="194" fontId="86" fillId="0" borderId="0" xfId="111" applyNumberFormat="1" applyFont="1" applyFill="1" applyAlignment="1" applyProtection="1">
      <alignment horizontal="right" vertical="center"/>
      <protection/>
    </xf>
    <xf numFmtId="194" fontId="86" fillId="0" borderId="16" xfId="111" applyNumberFormat="1" applyFont="1" applyFill="1" applyBorder="1" applyAlignment="1" applyProtection="1">
      <alignment horizontal="center"/>
      <protection/>
    </xf>
    <xf numFmtId="194" fontId="93" fillId="0" borderId="16" xfId="111" applyNumberFormat="1" applyFont="1" applyFill="1" applyBorder="1" applyAlignment="1" applyProtection="1">
      <alignment horizontal="center"/>
      <protection locked="0"/>
    </xf>
    <xf numFmtId="194" fontId="94" fillId="0" borderId="16" xfId="111" applyNumberFormat="1" applyFont="1" applyFill="1" applyBorder="1" applyAlignment="1" applyProtection="1">
      <alignment horizontal="center"/>
      <protection locked="0"/>
    </xf>
    <xf numFmtId="194" fontId="93" fillId="0" borderId="16" xfId="111" applyNumberFormat="1" applyFont="1" applyFill="1" applyBorder="1" applyAlignment="1" applyProtection="1">
      <alignment horizontal="center"/>
      <protection/>
    </xf>
    <xf numFmtId="194" fontId="88" fillId="0" borderId="0" xfId="0" applyNumberFormat="1" applyFont="1" applyFill="1" applyAlignment="1" applyProtection="1">
      <alignment/>
      <protection/>
    </xf>
    <xf numFmtId="185" fontId="88" fillId="0" borderId="0" xfId="0" applyNumberFormat="1" applyFont="1" applyFill="1" applyBorder="1" applyAlignment="1" applyProtection="1">
      <alignment vertical="center"/>
      <protection/>
    </xf>
    <xf numFmtId="194" fontId="94" fillId="53" borderId="16" xfId="111" applyNumberFormat="1" applyFont="1" applyFill="1" applyBorder="1" applyAlignment="1" applyProtection="1">
      <alignment horizontal="center"/>
      <protection locked="0"/>
    </xf>
    <xf numFmtId="194" fontId="93" fillId="53" borderId="16" xfId="111" applyNumberFormat="1" applyFont="1" applyFill="1" applyBorder="1" applyAlignment="1" applyProtection="1">
      <alignment horizontal="center"/>
      <protection locked="0"/>
    </xf>
    <xf numFmtId="194" fontId="93" fillId="53" borderId="16" xfId="111" applyNumberFormat="1" applyFont="1" applyFill="1" applyBorder="1" applyAlignment="1" applyProtection="1">
      <alignment horizontal="center"/>
      <protection/>
    </xf>
    <xf numFmtId="0" fontId="88" fillId="53" borderId="0" xfId="111" applyFont="1" applyFill="1" applyAlignment="1" applyProtection="1">
      <alignment horizontal="center" wrapText="1"/>
      <protection/>
    </xf>
    <xf numFmtId="2" fontId="85" fillId="53" borderId="0" xfId="111" applyNumberFormat="1" applyFont="1" applyFill="1" applyProtection="1">
      <alignment/>
      <protection/>
    </xf>
    <xf numFmtId="194" fontId="92" fillId="53" borderId="16" xfId="0" applyNumberFormat="1" applyFont="1" applyFill="1" applyBorder="1" applyAlignment="1">
      <alignment horizontal="center"/>
    </xf>
    <xf numFmtId="2" fontId="95" fillId="53" borderId="0" xfId="0" applyNumberFormat="1" applyFont="1" applyFill="1" applyBorder="1" applyAlignment="1">
      <alignment horizontal="right"/>
    </xf>
    <xf numFmtId="185" fontId="85" fillId="53" borderId="0" xfId="111" applyNumberFormat="1" applyFont="1" applyFill="1" applyBorder="1" applyProtection="1">
      <alignment/>
      <protection/>
    </xf>
    <xf numFmtId="0" fontId="85" fillId="53" borderId="0" xfId="111" applyFont="1" applyFill="1" applyProtection="1">
      <alignment/>
      <protection/>
    </xf>
    <xf numFmtId="194" fontId="96" fillId="0" borderId="16" xfId="111" applyNumberFormat="1" applyFont="1" applyFill="1" applyBorder="1" applyAlignment="1" applyProtection="1">
      <alignment horizontal="center"/>
      <protection/>
    </xf>
    <xf numFmtId="194" fontId="97" fillId="0" borderId="16" xfId="111" applyNumberFormat="1" applyFont="1" applyFill="1" applyBorder="1" applyAlignment="1" applyProtection="1">
      <alignment horizontal="center"/>
      <protection locked="0"/>
    </xf>
    <xf numFmtId="194" fontId="98" fillId="0" borderId="16" xfId="111" applyNumberFormat="1" applyFont="1" applyFill="1" applyBorder="1" applyAlignment="1" applyProtection="1">
      <alignment horizontal="center"/>
      <protection locked="0"/>
    </xf>
    <xf numFmtId="194" fontId="96" fillId="53" borderId="16" xfId="111" applyNumberFormat="1" applyFont="1" applyFill="1" applyBorder="1" applyAlignment="1" applyProtection="1">
      <alignment horizontal="center"/>
      <protection/>
    </xf>
    <xf numFmtId="194" fontId="99" fillId="53" borderId="16" xfId="0" applyNumberFormat="1" applyFont="1" applyFill="1" applyBorder="1" applyAlignment="1">
      <alignment horizontal="center"/>
    </xf>
    <xf numFmtId="2" fontId="31" fillId="0" borderId="16" xfId="111" applyNumberFormat="1" applyFont="1" applyFill="1" applyBorder="1" applyAlignment="1" applyProtection="1">
      <alignment horizontal="center"/>
      <protection/>
    </xf>
    <xf numFmtId="185" fontId="31" fillId="0" borderId="16" xfId="111" applyNumberFormat="1" applyFont="1" applyFill="1" applyBorder="1" applyAlignment="1" applyProtection="1">
      <alignment horizontal="center"/>
      <protection/>
    </xf>
    <xf numFmtId="185" fontId="5" fillId="53" borderId="16" xfId="111" applyNumberFormat="1" applyFont="1" applyFill="1" applyBorder="1" applyAlignment="1" applyProtection="1">
      <alignment horizontal="center"/>
      <protection/>
    </xf>
    <xf numFmtId="0" fontId="11" fillId="0" borderId="23" xfId="111" applyFont="1" applyFill="1" applyBorder="1" applyAlignment="1" applyProtection="1">
      <alignment horizontal="center" vertical="center" wrapText="1"/>
      <protection/>
    </xf>
    <xf numFmtId="185" fontId="85" fillId="0" borderId="0" xfId="111" applyNumberFormat="1" applyFont="1" applyFill="1" applyBorder="1" applyProtection="1">
      <alignment/>
      <protection/>
    </xf>
    <xf numFmtId="49" fontId="11" fillId="53" borderId="24" xfId="111" applyNumberFormat="1" applyFont="1" applyFill="1" applyBorder="1" applyAlignment="1" applyProtection="1">
      <alignment horizontal="center" vertical="top" wrapText="1"/>
      <protection/>
    </xf>
    <xf numFmtId="0" fontId="11" fillId="53" borderId="23" xfId="111" applyFont="1" applyFill="1" applyBorder="1" applyAlignment="1" applyProtection="1">
      <alignment horizontal="center" vertical="center" wrapText="1"/>
      <protection/>
    </xf>
    <xf numFmtId="0" fontId="11" fillId="53" borderId="16" xfId="111" applyFont="1" applyFill="1" applyBorder="1" applyAlignment="1" applyProtection="1">
      <alignment horizontal="center" vertical="center" wrapText="1"/>
      <protection/>
    </xf>
    <xf numFmtId="0" fontId="100" fillId="0" borderId="16" xfId="111" applyFont="1" applyBorder="1" applyAlignment="1" applyProtection="1">
      <alignment horizontal="center" vertical="center"/>
      <protection/>
    </xf>
    <xf numFmtId="0" fontId="91" fillId="0" borderId="16" xfId="111" applyFont="1" applyBorder="1" applyAlignment="1" applyProtection="1">
      <alignment vertical="center" wrapText="1"/>
      <protection/>
    </xf>
    <xf numFmtId="185" fontId="87" fillId="0" borderId="16" xfId="111" applyNumberFormat="1" applyFont="1" applyFill="1" applyBorder="1" applyProtection="1">
      <alignment/>
      <protection locked="0"/>
    </xf>
    <xf numFmtId="194" fontId="62" fillId="0" borderId="16" xfId="0" applyNumberFormat="1" applyFont="1" applyFill="1" applyBorder="1" applyAlignment="1">
      <alignment vertical="center"/>
    </xf>
    <xf numFmtId="194" fontId="5" fillId="0" borderId="16" xfId="0" applyNumberFormat="1" applyFont="1" applyFill="1" applyBorder="1" applyAlignment="1" applyProtection="1">
      <alignment horizontal="center"/>
      <protection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1" applyNumberFormat="1" applyFont="1" applyFill="1" applyBorder="1" applyAlignment="1" applyProtection="1">
      <alignment horizontal="center" vertical="center" wrapText="1"/>
      <protection/>
    </xf>
    <xf numFmtId="194" fontId="35" fillId="0" borderId="16" xfId="121" applyNumberFormat="1" applyFont="1" applyFill="1" applyBorder="1" applyAlignment="1" applyProtection="1">
      <alignment horizontal="center"/>
      <protection/>
    </xf>
    <xf numFmtId="0" fontId="18" fillId="0" borderId="0" xfId="111" applyFont="1" applyAlignment="1" applyProtection="1">
      <alignment horizontal="center"/>
      <protection/>
    </xf>
    <xf numFmtId="0" fontId="7" fillId="0" borderId="0" xfId="111" applyFont="1" applyFill="1" applyAlignment="1" applyProtection="1">
      <alignment horizontal="center" vertical="center" wrapText="1"/>
      <protection/>
    </xf>
    <xf numFmtId="0" fontId="5" fillId="53" borderId="16" xfId="111" applyFont="1" applyFill="1" applyBorder="1" applyAlignment="1" applyProtection="1">
      <alignment horizontal="center" vertical="center"/>
      <protection/>
    </xf>
    <xf numFmtId="0" fontId="5" fillId="53" borderId="19" xfId="111" applyFont="1" applyFill="1" applyBorder="1" applyAlignment="1" applyProtection="1">
      <alignment horizontal="center" vertical="center"/>
      <protection/>
    </xf>
    <xf numFmtId="0" fontId="9" fillId="0" borderId="16" xfId="111" applyFont="1" applyFill="1" applyBorder="1" applyAlignment="1" applyProtection="1">
      <alignment horizontal="center" vertical="center" wrapText="1"/>
      <protection/>
    </xf>
    <xf numFmtId="0" fontId="4" fillId="0" borderId="16" xfId="111" applyFont="1" applyFill="1" applyBorder="1" applyAlignment="1" applyProtection="1">
      <alignment horizontal="center" vertical="center" wrapText="1"/>
      <protection/>
    </xf>
    <xf numFmtId="0" fontId="8" fillId="0" borderId="17" xfId="111" applyFont="1" applyFill="1" applyBorder="1" applyAlignment="1" applyProtection="1">
      <alignment horizontal="center"/>
      <protection/>
    </xf>
    <xf numFmtId="0" fontId="4" fillId="0" borderId="0" xfId="111" applyFont="1" applyAlignment="1" applyProtection="1">
      <alignment horizontal="center"/>
      <protection/>
    </xf>
    <xf numFmtId="0" fontId="57" fillId="0" borderId="0" xfId="111" applyFont="1" applyFill="1" applyAlignment="1" applyProtection="1">
      <alignment horizontal="center" vertical="center" wrapText="1"/>
      <protection/>
    </xf>
    <xf numFmtId="0" fontId="4" fillId="0" borderId="0" xfId="112" applyFont="1" applyAlignment="1" applyProtection="1">
      <alignment horizontal="center"/>
      <protection/>
    </xf>
    <xf numFmtId="0" fontId="5" fillId="0" borderId="20" xfId="111" applyFont="1" applyFill="1" applyBorder="1" applyAlignment="1" applyProtection="1">
      <alignment horizontal="center" vertical="center"/>
      <protection/>
    </xf>
    <xf numFmtId="0" fontId="5" fillId="0" borderId="25" xfId="111" applyFont="1" applyFill="1" applyBorder="1" applyAlignment="1" applyProtection="1">
      <alignment horizontal="center" vertical="center"/>
      <protection/>
    </xf>
    <xf numFmtId="0" fontId="5" fillId="0" borderId="18" xfId="111" applyFont="1" applyFill="1" applyBorder="1" applyAlignment="1" applyProtection="1">
      <alignment horizontal="center" vertical="center"/>
      <protection/>
    </xf>
    <xf numFmtId="0" fontId="5" fillId="0" borderId="24" xfId="111" applyFont="1" applyFill="1" applyBorder="1" applyAlignment="1" applyProtection="1">
      <alignment horizontal="center" vertical="center"/>
      <protection/>
    </xf>
    <xf numFmtId="0" fontId="17" fillId="0" borderId="25" xfId="111" applyFont="1" applyFill="1" applyBorder="1" applyAlignment="1" applyProtection="1">
      <alignment horizontal="center" vertical="center"/>
      <protection/>
    </xf>
    <xf numFmtId="0" fontId="5" fillId="0" borderId="0" xfId="111" applyFont="1" applyFill="1" applyAlignment="1" applyProtection="1">
      <alignment horizontal="center" vertical="center" wrapText="1"/>
      <protection/>
    </xf>
    <xf numFmtId="0" fontId="5" fillId="0" borderId="16" xfId="111" applyFont="1" applyFill="1" applyBorder="1" applyAlignment="1" applyProtection="1">
      <alignment horizontal="center" vertical="center"/>
      <protection/>
    </xf>
    <xf numFmtId="0" fontId="5" fillId="0" borderId="0" xfId="111" applyFont="1" applyFill="1" applyAlignment="1" applyProtection="1">
      <alignment horizontal="center" wrapText="1"/>
      <protection/>
    </xf>
  </cellXfs>
  <cellStyles count="12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 2 2" xfId="109"/>
    <cellStyle name="Обычный 3" xfId="110"/>
    <cellStyle name="Обычный_ZV1PIV98" xfId="111"/>
    <cellStyle name="Обычный_Додаток 4" xfId="112"/>
    <cellStyle name="Обычный_Додаток 5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ечание 2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Тысячи [0]_Розподіл (2)" xfId="129"/>
    <cellStyle name="Тысячи_Розподіл (2)" xfId="130"/>
    <cellStyle name="Comma" xfId="131"/>
    <cellStyle name="Comma [0]" xfId="132"/>
    <cellStyle name="Хороший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0"/>
  <sheetViews>
    <sheetView showGridLines="0" showZeros="0" view="pageBreakPreview" zoomScale="85" zoomScaleNormal="75" zoomScaleSheetLayoutView="85" workbookViewId="0" topLeftCell="A1">
      <pane xSplit="3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77" sqref="F77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191" customWidth="1"/>
    <col min="5" max="5" width="19.25390625" style="191" customWidth="1"/>
    <col min="6" max="6" width="29.75390625" style="191" customWidth="1"/>
    <col min="7" max="7" width="18.75390625" style="191" customWidth="1"/>
    <col min="8" max="8" width="15.625" style="191" customWidth="1"/>
    <col min="9" max="9" width="26.00390625" style="191" customWidth="1"/>
    <col min="10" max="10" width="16.00390625" style="191" customWidth="1"/>
    <col min="11" max="11" width="23.25390625" style="192" customWidth="1"/>
    <col min="12" max="12" width="23.375" style="192" customWidth="1"/>
    <col min="13" max="13" width="20.625" style="23" customWidth="1"/>
    <col min="14" max="14" width="12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85" t="s">
        <v>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165"/>
    </row>
    <row r="2" spans="1:19" s="19" customFormat="1" ht="20.25" customHeight="1">
      <c r="A2" s="286" t="s">
        <v>47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66"/>
    </row>
    <row r="3" spans="1:19" s="20" customFormat="1" ht="15.75" customHeight="1">
      <c r="A3" s="287" t="s">
        <v>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167"/>
    </row>
    <row r="4" spans="1:19" s="21" customFormat="1" ht="26.25" customHeight="1">
      <c r="A4" s="293" t="s">
        <v>228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</row>
    <row r="5" spans="1:19" s="21" customFormat="1" ht="23.25" customHeight="1">
      <c r="A5" s="279" t="s">
        <v>233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168"/>
    </row>
    <row r="6" spans="2:33" s="1" customFormat="1" ht="20.25">
      <c r="B6" s="2" t="s">
        <v>117</v>
      </c>
      <c r="C6" s="2"/>
      <c r="D6" s="240"/>
      <c r="E6" s="241"/>
      <c r="F6" s="240"/>
      <c r="G6" s="173"/>
      <c r="H6" s="173"/>
      <c r="I6" s="174"/>
      <c r="J6" s="174"/>
      <c r="K6" s="175"/>
      <c r="L6" s="176"/>
      <c r="M6" s="164"/>
      <c r="N6" s="75"/>
      <c r="O6" s="66"/>
      <c r="Q6" s="284" t="s">
        <v>201</v>
      </c>
      <c r="R6" s="284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82" t="s">
        <v>7</v>
      </c>
      <c r="B7" s="283" t="s">
        <v>8</v>
      </c>
      <c r="C7" s="291" t="s">
        <v>55</v>
      </c>
      <c r="D7" s="292"/>
      <c r="E7" s="292"/>
      <c r="F7" s="292"/>
      <c r="G7" s="289"/>
      <c r="H7" s="289"/>
      <c r="I7" s="289"/>
      <c r="J7" s="290"/>
      <c r="K7" s="280" t="s">
        <v>56</v>
      </c>
      <c r="L7" s="281"/>
      <c r="M7" s="281"/>
      <c r="N7" s="281"/>
      <c r="O7" s="288" t="s">
        <v>57</v>
      </c>
      <c r="P7" s="288"/>
      <c r="Q7" s="289"/>
      <c r="R7" s="290"/>
    </row>
    <row r="8" spans="1:18" s="56" customFormat="1" ht="114" customHeight="1">
      <c r="A8" s="282"/>
      <c r="B8" s="283"/>
      <c r="C8" s="51" t="s">
        <v>59</v>
      </c>
      <c r="D8" s="218" t="s">
        <v>216</v>
      </c>
      <c r="E8" s="265" t="s">
        <v>229</v>
      </c>
      <c r="F8" s="265" t="s">
        <v>9</v>
      </c>
      <c r="G8" s="219" t="s">
        <v>232</v>
      </c>
      <c r="H8" s="218" t="s">
        <v>231</v>
      </c>
      <c r="I8" s="218" t="s">
        <v>93</v>
      </c>
      <c r="J8" s="218" t="s">
        <v>217</v>
      </c>
      <c r="K8" s="268" t="s">
        <v>219</v>
      </c>
      <c r="L8" s="72" t="s">
        <v>9</v>
      </c>
      <c r="M8" s="72" t="s">
        <v>188</v>
      </c>
      <c r="N8" s="72" t="s">
        <v>10</v>
      </c>
      <c r="O8" s="53" t="s">
        <v>218</v>
      </c>
      <c r="P8" s="52" t="s">
        <v>9</v>
      </c>
      <c r="Q8" s="54" t="s">
        <v>170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51</v>
      </c>
      <c r="D9" s="15" t="s">
        <v>51</v>
      </c>
      <c r="E9" s="15" t="s">
        <v>169</v>
      </c>
      <c r="F9" s="15" t="s">
        <v>11</v>
      </c>
      <c r="G9" s="15" t="s">
        <v>84</v>
      </c>
      <c r="H9" s="15" t="s">
        <v>85</v>
      </c>
      <c r="I9" s="15" t="s">
        <v>52</v>
      </c>
      <c r="J9" s="15" t="s">
        <v>12</v>
      </c>
      <c r="K9" s="267" t="s">
        <v>13</v>
      </c>
      <c r="L9" s="71" t="s">
        <v>14</v>
      </c>
      <c r="M9" s="71" t="s">
        <v>15</v>
      </c>
      <c r="N9" s="71" t="s">
        <v>53</v>
      </c>
      <c r="O9" s="15" t="s">
        <v>16</v>
      </c>
      <c r="P9" s="15" t="s">
        <v>50</v>
      </c>
      <c r="Q9" s="36" t="s">
        <v>80</v>
      </c>
      <c r="R9" s="15" t="s">
        <v>81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44">
        <v>10000000</v>
      </c>
      <c r="B10" s="87" t="s">
        <v>17</v>
      </c>
      <c r="C10" s="88" t="e">
        <f>C11+#REF!+C15+C21+#REF!</f>
        <v>#REF!</v>
      </c>
      <c r="D10" s="118">
        <f>D11+D15+D21+D26+D31+D25</f>
        <v>5610678.643429999</v>
      </c>
      <c r="E10" s="118">
        <f>E11+E15+E21+E26+E31+E25</f>
        <v>1845106.6624300003</v>
      </c>
      <c r="F10" s="118">
        <f>F11+F15+F21+F26+F31+F25</f>
        <v>2008339.5960700002</v>
      </c>
      <c r="G10" s="118">
        <f>F10-E10</f>
        <v>163232.93363999994</v>
      </c>
      <c r="H10" s="137">
        <f>_xlfn.IFERROR(F10/E10,"")</f>
        <v>1.0884680202850834</v>
      </c>
      <c r="I10" s="118">
        <f aca="true" t="shared" si="0" ref="I10:I19">F10-D10</f>
        <v>-3602339.0473599993</v>
      </c>
      <c r="J10" s="137">
        <f>_xlfn.IFERROR(F10/D10,"")</f>
        <v>0.35794949661245146</v>
      </c>
      <c r="K10" s="118">
        <f>K11+K15+K21+K26+K31+K14</f>
        <v>4175.721</v>
      </c>
      <c r="L10" s="118">
        <f>L11+L15+L21+L26+L31+L14</f>
        <v>1586.19125</v>
      </c>
      <c r="M10" s="117">
        <f aca="true" t="shared" si="1" ref="M10:M16">L10-K10</f>
        <v>-2589.5297499999997</v>
      </c>
      <c r="N10" s="140">
        <f>_xlfn.IFERROR(L10/K10,"")</f>
        <v>0.3798604480519652</v>
      </c>
      <c r="O10" s="118">
        <f aca="true" t="shared" si="2" ref="O10:O19">D10+K10</f>
        <v>5614854.364429999</v>
      </c>
      <c r="P10" s="118">
        <f aca="true" t="shared" si="3" ref="P10:P24">L10+F10</f>
        <v>2009925.7873200001</v>
      </c>
      <c r="Q10" s="126">
        <f aca="true" t="shared" si="4" ref="Q10:Q19">P10-O10</f>
        <v>-3604928.577109999</v>
      </c>
      <c r="R10" s="137">
        <f>_xlfn.IFERROR(P10/O10,"")</f>
        <v>0.35796579160678565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44">
        <v>11000000</v>
      </c>
      <c r="B11" s="87" t="s">
        <v>34</v>
      </c>
      <c r="C11" s="88">
        <f>C12+C13</f>
        <v>107497.5</v>
      </c>
      <c r="D11" s="118">
        <f>D12+D13</f>
        <v>3969425.44943</v>
      </c>
      <c r="E11" s="118">
        <f>E12+E13</f>
        <v>1335009.99043</v>
      </c>
      <c r="F11" s="118">
        <f>F12+F13</f>
        <v>1397440.35414</v>
      </c>
      <c r="G11" s="118">
        <f aca="true" t="shared" si="5" ref="G11:G79">F11-E11</f>
        <v>62430.36370999995</v>
      </c>
      <c r="H11" s="137">
        <f aca="true" t="shared" si="6" ref="H11:H50">_xlfn.IFERROR(F11/E11,"")</f>
        <v>1.0467639674291063</v>
      </c>
      <c r="I11" s="118">
        <f t="shared" si="0"/>
        <v>-2571985.09529</v>
      </c>
      <c r="J11" s="137">
        <f aca="true" t="shared" si="7" ref="J11:J50">_xlfn.IFERROR(F11/D11,"")</f>
        <v>0.3520510391096195</v>
      </c>
      <c r="K11" s="118">
        <f>K12+K13</f>
        <v>0</v>
      </c>
      <c r="L11" s="118">
        <f>L12+L13</f>
        <v>0</v>
      </c>
      <c r="M11" s="117">
        <f>L11-K11</f>
        <v>0</v>
      </c>
      <c r="N11" s="140">
        <f aca="true" t="shared" si="8" ref="N11:N50">_xlfn.IFERROR(L11/K11,"")</f>
      </c>
      <c r="O11" s="118">
        <f t="shared" si="2"/>
        <v>3969425.44943</v>
      </c>
      <c r="P11" s="118">
        <f t="shared" si="3"/>
        <v>1397440.35414</v>
      </c>
      <c r="Q11" s="126">
        <f t="shared" si="4"/>
        <v>-2571985.09529</v>
      </c>
      <c r="R11" s="137">
        <f aca="true" t="shared" si="9" ref="R11:R50">_xlfn.IFERROR(P11/O11,"")</f>
        <v>0.3520510391096195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45">
        <v>11010000</v>
      </c>
      <c r="B12" s="89" t="s">
        <v>178</v>
      </c>
      <c r="C12" s="90">
        <v>106199</v>
      </c>
      <c r="D12" s="263">
        <v>3931806.46943</v>
      </c>
      <c r="E12" s="120">
        <v>1324183.15443</v>
      </c>
      <c r="F12" s="262">
        <v>1376233.61929</v>
      </c>
      <c r="G12" s="128">
        <f t="shared" si="5"/>
        <v>52050.46485999995</v>
      </c>
      <c r="H12" s="138">
        <f t="shared" si="6"/>
        <v>1.0393076023402559</v>
      </c>
      <c r="I12" s="128">
        <f t="shared" si="0"/>
        <v>-2555572.8501399998</v>
      </c>
      <c r="J12" s="138">
        <f t="shared" si="7"/>
        <v>0.35002577822440856</v>
      </c>
      <c r="K12" s="243">
        <v>0</v>
      </c>
      <c r="L12" s="243">
        <v>0</v>
      </c>
      <c r="M12" s="117">
        <f>L12-K12</f>
        <v>0</v>
      </c>
      <c r="N12" s="158">
        <f t="shared" si="8"/>
      </c>
      <c r="O12" s="120">
        <f t="shared" si="2"/>
        <v>3931806.46943</v>
      </c>
      <c r="P12" s="128">
        <f t="shared" si="3"/>
        <v>1376233.61929</v>
      </c>
      <c r="Q12" s="129">
        <f t="shared" si="4"/>
        <v>-2555572.8501399998</v>
      </c>
      <c r="R12" s="138">
        <f t="shared" si="9"/>
        <v>0.35002577822440856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45">
        <v>11020000</v>
      </c>
      <c r="B13" s="89" t="s">
        <v>48</v>
      </c>
      <c r="C13" s="90">
        <v>1298.5</v>
      </c>
      <c r="D13" s="263">
        <v>37618.98</v>
      </c>
      <c r="E13" s="120">
        <v>10826.836</v>
      </c>
      <c r="F13" s="262">
        <v>21206.73485</v>
      </c>
      <c r="G13" s="128">
        <f t="shared" si="5"/>
        <v>10379.898850000001</v>
      </c>
      <c r="H13" s="138">
        <f t="shared" si="6"/>
        <v>1.9587195049412407</v>
      </c>
      <c r="I13" s="128">
        <f t="shared" si="0"/>
        <v>-16412.245150000002</v>
      </c>
      <c r="J13" s="138">
        <f t="shared" si="7"/>
        <v>0.5637243447323664</v>
      </c>
      <c r="K13" s="243"/>
      <c r="L13" s="243">
        <v>0</v>
      </c>
      <c r="M13" s="117">
        <f>L13-K13</f>
        <v>0</v>
      </c>
      <c r="N13" s="158">
        <f t="shared" si="8"/>
      </c>
      <c r="O13" s="120">
        <f t="shared" si="2"/>
        <v>37618.98</v>
      </c>
      <c r="P13" s="128">
        <f t="shared" si="3"/>
        <v>21206.73485</v>
      </c>
      <c r="Q13" s="129">
        <f t="shared" si="4"/>
        <v>-16412.245150000002</v>
      </c>
      <c r="R13" s="138">
        <f t="shared" si="9"/>
        <v>0.5637243447323664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44" t="s">
        <v>194</v>
      </c>
      <c r="B14" s="87" t="s">
        <v>193</v>
      </c>
      <c r="C14" s="90"/>
      <c r="D14" s="133">
        <v>0</v>
      </c>
      <c r="E14" s="133">
        <v>0</v>
      </c>
      <c r="F14" s="133">
        <v>0</v>
      </c>
      <c r="G14" s="133"/>
      <c r="H14" s="137">
        <f t="shared" si="6"/>
      </c>
      <c r="I14" s="133"/>
      <c r="J14" s="137">
        <f t="shared" si="7"/>
      </c>
      <c r="K14" s="244">
        <v>0</v>
      </c>
      <c r="L14" s="244">
        <v>0</v>
      </c>
      <c r="M14" s="117">
        <f>L14-K14</f>
        <v>0</v>
      </c>
      <c r="N14" s="140">
        <f t="shared" si="8"/>
      </c>
      <c r="O14" s="120">
        <f>D14+K14</f>
        <v>0</v>
      </c>
      <c r="P14" s="128">
        <f>L14+F14</f>
        <v>0</v>
      </c>
      <c r="Q14" s="129">
        <f>P14-O14</f>
        <v>0</v>
      </c>
      <c r="R14" s="137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44">
        <v>13000000</v>
      </c>
      <c r="B15" s="87" t="s">
        <v>153</v>
      </c>
      <c r="C15" s="91" t="e">
        <f>C16+#REF!+#REF!+C19</f>
        <v>#REF!</v>
      </c>
      <c r="D15" s="118">
        <f>SUM(D16:D20)</f>
        <v>33433.193</v>
      </c>
      <c r="E15" s="118">
        <f>SUM(E16:E20)</f>
        <v>10467.404</v>
      </c>
      <c r="F15" s="118">
        <f>SUM(F16:F20)</f>
        <v>11886.91564</v>
      </c>
      <c r="G15" s="118">
        <f t="shared" si="5"/>
        <v>1419.5116399999988</v>
      </c>
      <c r="H15" s="137">
        <f t="shared" si="6"/>
        <v>1.1356125778655337</v>
      </c>
      <c r="I15" s="118">
        <f t="shared" si="0"/>
        <v>-21546.27736</v>
      </c>
      <c r="J15" s="137">
        <f t="shared" si="7"/>
        <v>0.35554233901619864</v>
      </c>
      <c r="K15" s="242">
        <f>SUM(K16:K20)</f>
        <v>0</v>
      </c>
      <c r="L15" s="242">
        <f>SUM(L16:L20)</f>
        <v>0</v>
      </c>
      <c r="M15" s="117">
        <f t="shared" si="1"/>
        <v>0</v>
      </c>
      <c r="N15" s="140">
        <f t="shared" si="8"/>
      </c>
      <c r="O15" s="118">
        <f t="shared" si="2"/>
        <v>33433.193</v>
      </c>
      <c r="P15" s="118">
        <f t="shared" si="3"/>
        <v>11886.91564</v>
      </c>
      <c r="Q15" s="126">
        <f t="shared" si="4"/>
        <v>-21546.27736</v>
      </c>
      <c r="R15" s="137">
        <f t="shared" si="9"/>
        <v>0.35554233901619864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45">
        <v>13010000</v>
      </c>
      <c r="B16" s="89" t="s">
        <v>154</v>
      </c>
      <c r="C16" s="90">
        <v>1</v>
      </c>
      <c r="D16" s="263">
        <v>21252.379</v>
      </c>
      <c r="E16" s="120">
        <v>7269.1</v>
      </c>
      <c r="F16" s="263">
        <v>7923.84278</v>
      </c>
      <c r="G16" s="128">
        <f t="shared" si="5"/>
        <v>654.7427799999996</v>
      </c>
      <c r="H16" s="138">
        <f t="shared" si="6"/>
        <v>1.0900720556877743</v>
      </c>
      <c r="I16" s="128">
        <f t="shared" si="0"/>
        <v>-13328.536220000002</v>
      </c>
      <c r="J16" s="138">
        <f t="shared" si="7"/>
        <v>0.3728449779669372</v>
      </c>
      <c r="K16" s="243">
        <v>0</v>
      </c>
      <c r="L16" s="243">
        <v>0</v>
      </c>
      <c r="M16" s="119">
        <f t="shared" si="1"/>
        <v>0</v>
      </c>
      <c r="N16" s="158">
        <f t="shared" si="8"/>
      </c>
      <c r="O16" s="120">
        <f t="shared" si="2"/>
        <v>21252.379</v>
      </c>
      <c r="P16" s="128">
        <f t="shared" si="3"/>
        <v>7923.84278</v>
      </c>
      <c r="Q16" s="129">
        <f t="shared" si="4"/>
        <v>-13328.536220000002</v>
      </c>
      <c r="R16" s="138">
        <f t="shared" si="9"/>
        <v>0.3728449779669372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45">
        <v>13020000</v>
      </c>
      <c r="B17" s="89" t="s">
        <v>155</v>
      </c>
      <c r="C17" s="90"/>
      <c r="D17" s="263">
        <v>5600</v>
      </c>
      <c r="E17" s="120">
        <v>1220.2</v>
      </c>
      <c r="F17" s="263">
        <v>2008.27116</v>
      </c>
      <c r="G17" s="128">
        <f t="shared" si="5"/>
        <v>788.07116</v>
      </c>
      <c r="H17" s="138">
        <f t="shared" si="6"/>
        <v>1.6458540894935256</v>
      </c>
      <c r="I17" s="128">
        <f t="shared" si="0"/>
        <v>-3591.7288399999998</v>
      </c>
      <c r="J17" s="138">
        <f t="shared" si="7"/>
        <v>0.35861985</v>
      </c>
      <c r="K17" s="243">
        <v>0</v>
      </c>
      <c r="L17" s="243">
        <v>0</v>
      </c>
      <c r="M17" s="119"/>
      <c r="N17" s="158">
        <f t="shared" si="8"/>
      </c>
      <c r="O17" s="120">
        <f t="shared" si="2"/>
        <v>5600</v>
      </c>
      <c r="P17" s="128">
        <f t="shared" si="3"/>
        <v>2008.27116</v>
      </c>
      <c r="Q17" s="129">
        <f t="shared" si="4"/>
        <v>-3591.7288399999998</v>
      </c>
      <c r="R17" s="138">
        <f t="shared" si="9"/>
        <v>0.35861985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45">
        <v>13030000</v>
      </c>
      <c r="B18" s="89" t="s">
        <v>156</v>
      </c>
      <c r="C18" s="90"/>
      <c r="D18" s="263">
        <v>4136.739</v>
      </c>
      <c r="E18" s="120">
        <v>1198.504</v>
      </c>
      <c r="F18" s="263">
        <v>1059.12665</v>
      </c>
      <c r="G18" s="128">
        <f t="shared" si="5"/>
        <v>-139.37734999999998</v>
      </c>
      <c r="H18" s="138">
        <f t="shared" si="6"/>
        <v>0.8837072300134168</v>
      </c>
      <c r="I18" s="128">
        <f t="shared" si="0"/>
        <v>-3077.6123499999994</v>
      </c>
      <c r="J18" s="138">
        <f t="shared" si="7"/>
        <v>0.2560293627420052</v>
      </c>
      <c r="K18" s="243">
        <v>0</v>
      </c>
      <c r="L18" s="243">
        <v>0</v>
      </c>
      <c r="M18" s="119"/>
      <c r="N18" s="158">
        <f t="shared" si="8"/>
      </c>
      <c r="O18" s="120">
        <f t="shared" si="2"/>
        <v>4136.739</v>
      </c>
      <c r="P18" s="128">
        <f t="shared" si="3"/>
        <v>1059.12665</v>
      </c>
      <c r="Q18" s="129">
        <f t="shared" si="4"/>
        <v>-3077.6123499999994</v>
      </c>
      <c r="R18" s="138">
        <f t="shared" si="9"/>
        <v>0.2560293627420052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45">
        <v>13040000</v>
      </c>
      <c r="B19" s="89" t="s">
        <v>199</v>
      </c>
      <c r="C19" s="90"/>
      <c r="D19" s="263">
        <v>2444.075</v>
      </c>
      <c r="E19" s="120">
        <v>779.6</v>
      </c>
      <c r="F19" s="263">
        <v>895.67505</v>
      </c>
      <c r="G19" s="118">
        <f t="shared" si="5"/>
        <v>116.07505000000003</v>
      </c>
      <c r="H19" s="138">
        <f t="shared" si="6"/>
        <v>1.1488905207798872</v>
      </c>
      <c r="I19" s="128">
        <f t="shared" si="0"/>
        <v>-1548.3999499999998</v>
      </c>
      <c r="J19" s="138">
        <f t="shared" si="7"/>
        <v>0.3664679070814112</v>
      </c>
      <c r="K19" s="243">
        <v>0</v>
      </c>
      <c r="L19" s="243">
        <v>0</v>
      </c>
      <c r="M19" s="119">
        <f>L19-K19</f>
        <v>0</v>
      </c>
      <c r="N19" s="158">
        <f t="shared" si="8"/>
      </c>
      <c r="O19" s="120">
        <f t="shared" si="2"/>
        <v>2444.075</v>
      </c>
      <c r="P19" s="128">
        <f t="shared" si="3"/>
        <v>895.67505</v>
      </c>
      <c r="Q19" s="129">
        <f t="shared" si="4"/>
        <v>-1548.3999499999998</v>
      </c>
      <c r="R19" s="138">
        <f t="shared" si="9"/>
        <v>0.3664679070814112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45">
        <v>13070000</v>
      </c>
      <c r="B20" s="89" t="s">
        <v>70</v>
      </c>
      <c r="C20" s="90"/>
      <c r="D20" s="128">
        <v>0</v>
      </c>
      <c r="E20" s="259">
        <v>0</v>
      </c>
      <c r="F20" s="128">
        <v>0</v>
      </c>
      <c r="G20" s="118">
        <f t="shared" si="5"/>
        <v>0</v>
      </c>
      <c r="H20" s="138">
        <f t="shared" si="6"/>
      </c>
      <c r="I20" s="128"/>
      <c r="J20" s="138">
        <f t="shared" si="7"/>
      </c>
      <c r="K20" s="243">
        <v>0</v>
      </c>
      <c r="L20" s="243">
        <v>0</v>
      </c>
      <c r="M20" s="119"/>
      <c r="N20" s="158">
        <f t="shared" si="8"/>
      </c>
      <c r="O20" s="120"/>
      <c r="P20" s="128">
        <f t="shared" si="3"/>
        <v>0</v>
      </c>
      <c r="Q20" s="129"/>
      <c r="R20" s="138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44">
        <v>14000000</v>
      </c>
      <c r="B21" s="87" t="s">
        <v>35</v>
      </c>
      <c r="C21" s="91" t="e">
        <f>C24+#REF!</f>
        <v>#REF!</v>
      </c>
      <c r="D21" s="118">
        <f>D24+D23+D22</f>
        <v>368090.06</v>
      </c>
      <c r="E21" s="118">
        <f>E24+E23+E22</f>
        <v>114448.867</v>
      </c>
      <c r="F21" s="118">
        <f>F22+F23+F24</f>
        <v>150089.4576</v>
      </c>
      <c r="G21" s="118">
        <f t="shared" si="5"/>
        <v>35640.590599999996</v>
      </c>
      <c r="H21" s="137">
        <f t="shared" si="6"/>
        <v>1.311410602256115</v>
      </c>
      <c r="I21" s="118">
        <f aca="true" t="shared" si="10" ref="I21:I34">F21-D21</f>
        <v>-218000.6024</v>
      </c>
      <c r="J21" s="137">
        <f t="shared" si="7"/>
        <v>0.4077519985190581</v>
      </c>
      <c r="K21" s="242">
        <f>((K24+K23+K22)/1000)/1000</f>
        <v>0</v>
      </c>
      <c r="L21" s="242">
        <f>((L24+L23+L22)/1000)/1000</f>
        <v>0</v>
      </c>
      <c r="M21" s="117">
        <f>M24+M23+M22</f>
        <v>0</v>
      </c>
      <c r="N21" s="140">
        <f t="shared" si="8"/>
      </c>
      <c r="O21" s="118">
        <f>O24+O23+O22</f>
        <v>368090.06</v>
      </c>
      <c r="P21" s="118">
        <f>P24+P23+P22</f>
        <v>150089.4576</v>
      </c>
      <c r="Q21" s="126">
        <f aca="true" t="shared" si="11" ref="Q21:Q29">P21-O21</f>
        <v>-218000.6024</v>
      </c>
      <c r="R21" s="137">
        <f t="shared" si="9"/>
        <v>0.4077519985190581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46">
        <v>14020000</v>
      </c>
      <c r="B22" s="89" t="s">
        <v>116</v>
      </c>
      <c r="C22" s="92"/>
      <c r="D22" s="263">
        <v>7584.756</v>
      </c>
      <c r="E22" s="120">
        <v>2922.389</v>
      </c>
      <c r="F22" s="263">
        <v>9995.79515</v>
      </c>
      <c r="G22" s="128">
        <f t="shared" si="5"/>
        <v>7073.40615</v>
      </c>
      <c r="H22" s="138">
        <f t="shared" si="6"/>
        <v>3.420419098894774</v>
      </c>
      <c r="I22" s="128">
        <f t="shared" si="10"/>
        <v>2411.0391499999996</v>
      </c>
      <c r="J22" s="138">
        <f t="shared" si="7"/>
        <v>1.3178795929625158</v>
      </c>
      <c r="K22" s="243">
        <v>0</v>
      </c>
      <c r="L22" s="243">
        <v>0</v>
      </c>
      <c r="M22" s="130"/>
      <c r="N22" s="158">
        <f t="shared" si="8"/>
      </c>
      <c r="O22" s="128">
        <f>D22+K22</f>
        <v>7584.756</v>
      </c>
      <c r="P22" s="128">
        <f>L22+F22</f>
        <v>9995.79515</v>
      </c>
      <c r="Q22" s="128">
        <f t="shared" si="11"/>
        <v>2411.0391499999996</v>
      </c>
      <c r="R22" s="138">
        <f t="shared" si="9"/>
        <v>1.3178795929625158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46">
        <v>14030000</v>
      </c>
      <c r="B23" s="89" t="s">
        <v>157</v>
      </c>
      <c r="C23" s="92"/>
      <c r="D23" s="263">
        <v>85265.327</v>
      </c>
      <c r="E23" s="120">
        <v>27445.429</v>
      </c>
      <c r="F23" s="263">
        <v>50029.03565</v>
      </c>
      <c r="G23" s="128">
        <f t="shared" si="5"/>
        <v>22583.606649999998</v>
      </c>
      <c r="H23" s="138">
        <f t="shared" si="6"/>
        <v>1.8228549333296993</v>
      </c>
      <c r="I23" s="128">
        <f t="shared" si="10"/>
        <v>-35236.29135000001</v>
      </c>
      <c r="J23" s="138">
        <f t="shared" si="7"/>
        <v>0.5867453677858996</v>
      </c>
      <c r="K23" s="243">
        <v>0</v>
      </c>
      <c r="L23" s="243">
        <v>0</v>
      </c>
      <c r="M23" s="130"/>
      <c r="N23" s="158">
        <f t="shared" si="8"/>
      </c>
      <c r="O23" s="128">
        <f>D23+K23</f>
        <v>85265.327</v>
      </c>
      <c r="P23" s="128">
        <f>L23+F23</f>
        <v>50029.03565</v>
      </c>
      <c r="Q23" s="128">
        <f t="shared" si="11"/>
        <v>-35236.29135000001</v>
      </c>
      <c r="R23" s="138">
        <f t="shared" si="9"/>
        <v>0.5867453677858996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46">
        <v>14040000</v>
      </c>
      <c r="B24" s="89" t="s">
        <v>158</v>
      </c>
      <c r="C24" s="92" t="e">
        <f>#REF!+#REF!+#REF!+#REF!+#REF!</f>
        <v>#REF!</v>
      </c>
      <c r="D24" s="263">
        <v>275239.977</v>
      </c>
      <c r="E24" s="120">
        <v>84081.049</v>
      </c>
      <c r="F24" s="263">
        <v>90064.6268</v>
      </c>
      <c r="G24" s="128">
        <f t="shared" si="5"/>
        <v>5983.577799999999</v>
      </c>
      <c r="H24" s="138">
        <f t="shared" si="6"/>
        <v>1.071164404716216</v>
      </c>
      <c r="I24" s="128">
        <f t="shared" si="10"/>
        <v>-185175.35020000002</v>
      </c>
      <c r="J24" s="138">
        <f t="shared" si="7"/>
        <v>0.3272221854603628</v>
      </c>
      <c r="K24" s="243">
        <v>0</v>
      </c>
      <c r="L24" s="243">
        <v>0</v>
      </c>
      <c r="M24" s="130">
        <f>L24-K24</f>
        <v>0</v>
      </c>
      <c r="N24" s="158">
        <f t="shared" si="8"/>
      </c>
      <c r="O24" s="128">
        <f>D24+K24</f>
        <v>275239.977</v>
      </c>
      <c r="P24" s="128">
        <f t="shared" si="3"/>
        <v>90064.6268</v>
      </c>
      <c r="Q24" s="128">
        <f t="shared" si="11"/>
        <v>-185175.35020000002</v>
      </c>
      <c r="R24" s="138">
        <f t="shared" si="9"/>
        <v>0.3272221854603628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49">
        <v>16000000</v>
      </c>
      <c r="B25" s="150" t="s">
        <v>196</v>
      </c>
      <c r="C25" s="92"/>
      <c r="D25" s="133">
        <v>0</v>
      </c>
      <c r="E25" s="258">
        <v>0</v>
      </c>
      <c r="F25" s="133">
        <v>0</v>
      </c>
      <c r="G25" s="133">
        <f t="shared" si="5"/>
        <v>0</v>
      </c>
      <c r="H25" s="138">
        <f t="shared" si="6"/>
      </c>
      <c r="I25" s="133">
        <f t="shared" si="10"/>
        <v>0</v>
      </c>
      <c r="J25" s="137">
        <f t="shared" si="7"/>
      </c>
      <c r="K25" s="244"/>
      <c r="L25" s="244"/>
      <c r="M25" s="130"/>
      <c r="N25" s="140">
        <f t="shared" si="8"/>
      </c>
      <c r="O25" s="128">
        <f>D25+K25</f>
        <v>0</v>
      </c>
      <c r="P25" s="136">
        <f>L25+F25</f>
        <v>0</v>
      </c>
      <c r="Q25" s="136">
        <f>P25-O25</f>
        <v>0</v>
      </c>
      <c r="R25" s="137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44">
        <v>18000000</v>
      </c>
      <c r="B26" s="87" t="s">
        <v>18</v>
      </c>
      <c r="C26" s="87"/>
      <c r="D26" s="118">
        <f>SUM(D27:D30)</f>
        <v>1239729.9409999999</v>
      </c>
      <c r="E26" s="118">
        <f>SUM(E27:E30)</f>
        <v>385180.401</v>
      </c>
      <c r="F26" s="118">
        <f>SUM(F27:F30)</f>
        <v>448922.90368999995</v>
      </c>
      <c r="G26" s="118">
        <f t="shared" si="5"/>
        <v>63742.502689999936</v>
      </c>
      <c r="H26" s="137">
        <f t="shared" si="6"/>
        <v>1.1654873989551715</v>
      </c>
      <c r="I26" s="118">
        <f t="shared" si="10"/>
        <v>-790807.0373099999</v>
      </c>
      <c r="J26" s="137">
        <f t="shared" si="7"/>
        <v>0.3621134642661663</v>
      </c>
      <c r="K26" s="242">
        <f>(K27+K28+K29+K30)/1000</f>
        <v>0</v>
      </c>
      <c r="L26" s="242">
        <f>(L27+L28+L29+L30)/1000</f>
        <v>0</v>
      </c>
      <c r="M26" s="117">
        <f aca="true" t="shared" si="12" ref="M26:M34">L26-K26</f>
        <v>0</v>
      </c>
      <c r="N26" s="140">
        <f t="shared" si="8"/>
      </c>
      <c r="O26" s="118">
        <f aca="true" t="shared" si="13" ref="O26:O58">D26+K26</f>
        <v>1239729.9409999999</v>
      </c>
      <c r="P26" s="118">
        <f aca="true" t="shared" si="14" ref="P26:P32">L26+F26</f>
        <v>448922.90368999995</v>
      </c>
      <c r="Q26" s="126">
        <f t="shared" si="11"/>
        <v>-790807.0373099999</v>
      </c>
      <c r="R26" s="137">
        <f t="shared" si="9"/>
        <v>0.3621134642661663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45">
        <v>18010000</v>
      </c>
      <c r="B27" s="89" t="s">
        <v>159</v>
      </c>
      <c r="C27" s="87"/>
      <c r="D27" s="263">
        <v>567652.473</v>
      </c>
      <c r="E27" s="120">
        <v>163285.217</v>
      </c>
      <c r="F27" s="263">
        <v>192117.41115</v>
      </c>
      <c r="G27" s="128">
        <f t="shared" si="5"/>
        <v>28832.194149999996</v>
      </c>
      <c r="H27" s="138">
        <f t="shared" si="6"/>
        <v>1.1765756550392434</v>
      </c>
      <c r="I27" s="128">
        <f t="shared" si="10"/>
        <v>-375535.06185</v>
      </c>
      <c r="J27" s="138">
        <f t="shared" si="7"/>
        <v>0.33844195222945855</v>
      </c>
      <c r="K27" s="243">
        <v>0</v>
      </c>
      <c r="L27" s="243">
        <v>0</v>
      </c>
      <c r="M27" s="131">
        <f>L27-K27</f>
        <v>0</v>
      </c>
      <c r="N27" s="158">
        <f t="shared" si="8"/>
      </c>
      <c r="O27" s="120">
        <f t="shared" si="13"/>
        <v>567652.473</v>
      </c>
      <c r="P27" s="120">
        <f t="shared" si="14"/>
        <v>192117.41115</v>
      </c>
      <c r="Q27" s="120">
        <f t="shared" si="11"/>
        <v>-375535.06185</v>
      </c>
      <c r="R27" s="138">
        <f t="shared" si="9"/>
        <v>0.33844195222945855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45">
        <v>18020000</v>
      </c>
      <c r="B28" s="89" t="s">
        <v>63</v>
      </c>
      <c r="C28" s="90"/>
      <c r="D28" s="263">
        <v>3236.2</v>
      </c>
      <c r="E28" s="120">
        <v>797.1</v>
      </c>
      <c r="F28" s="263">
        <v>916.89538</v>
      </c>
      <c r="G28" s="128">
        <f t="shared" si="5"/>
        <v>119.79538000000002</v>
      </c>
      <c r="H28" s="138">
        <f t="shared" si="6"/>
        <v>1.1502890227073141</v>
      </c>
      <c r="I28" s="128">
        <f t="shared" si="10"/>
        <v>-2319.30462</v>
      </c>
      <c r="J28" s="138">
        <f t="shared" si="7"/>
        <v>0.28332469563067797</v>
      </c>
      <c r="K28" s="243">
        <v>0</v>
      </c>
      <c r="L28" s="243">
        <v>0</v>
      </c>
      <c r="M28" s="119">
        <f t="shared" si="12"/>
        <v>0</v>
      </c>
      <c r="N28" s="158">
        <f t="shared" si="8"/>
      </c>
      <c r="O28" s="120">
        <f t="shared" si="13"/>
        <v>3236.2</v>
      </c>
      <c r="P28" s="128">
        <f t="shared" si="14"/>
        <v>916.89538</v>
      </c>
      <c r="Q28" s="129">
        <f t="shared" si="11"/>
        <v>-2319.30462</v>
      </c>
      <c r="R28" s="138">
        <f t="shared" si="9"/>
        <v>0.28332469563067797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45">
        <v>18030000</v>
      </c>
      <c r="B29" s="89" t="s">
        <v>64</v>
      </c>
      <c r="C29" s="90"/>
      <c r="D29" s="263">
        <v>3645.075</v>
      </c>
      <c r="E29" s="120">
        <v>720.02</v>
      </c>
      <c r="F29" s="263">
        <v>949.99297</v>
      </c>
      <c r="G29" s="128">
        <f t="shared" si="5"/>
        <v>229.97297000000003</v>
      </c>
      <c r="H29" s="138">
        <f t="shared" si="6"/>
        <v>1.3193980306102608</v>
      </c>
      <c r="I29" s="128">
        <f t="shared" si="10"/>
        <v>-2695.0820299999996</v>
      </c>
      <c r="J29" s="138">
        <f t="shared" si="7"/>
        <v>0.26062371007455265</v>
      </c>
      <c r="K29" s="243">
        <v>0</v>
      </c>
      <c r="L29" s="243">
        <v>0</v>
      </c>
      <c r="M29" s="119">
        <f t="shared" si="12"/>
        <v>0</v>
      </c>
      <c r="N29" s="158">
        <f t="shared" si="8"/>
      </c>
      <c r="O29" s="120">
        <f t="shared" si="13"/>
        <v>3645.075</v>
      </c>
      <c r="P29" s="128">
        <f t="shared" si="14"/>
        <v>949.99297</v>
      </c>
      <c r="Q29" s="129">
        <f t="shared" si="11"/>
        <v>-2695.0820299999996</v>
      </c>
      <c r="R29" s="138">
        <f t="shared" si="9"/>
        <v>0.26062371007455265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45">
        <v>18050000</v>
      </c>
      <c r="B30" s="89" t="s">
        <v>65</v>
      </c>
      <c r="C30" s="90"/>
      <c r="D30" s="263">
        <v>665196.193</v>
      </c>
      <c r="E30" s="120">
        <v>220378.064</v>
      </c>
      <c r="F30" s="263">
        <v>254938.60418999998</v>
      </c>
      <c r="G30" s="128">
        <f>F30-E30</f>
        <v>34560.54018999997</v>
      </c>
      <c r="H30" s="138">
        <f t="shared" si="6"/>
        <v>1.1568238669616409</v>
      </c>
      <c r="I30" s="128">
        <f>F30-D30</f>
        <v>-410257.58881</v>
      </c>
      <c r="J30" s="138">
        <f t="shared" si="7"/>
        <v>0.38325325200711124</v>
      </c>
      <c r="K30" s="243">
        <v>0</v>
      </c>
      <c r="L30" s="243">
        <v>0</v>
      </c>
      <c r="M30" s="119">
        <f t="shared" si="12"/>
        <v>0</v>
      </c>
      <c r="N30" s="158">
        <f t="shared" si="8"/>
      </c>
      <c r="O30" s="120">
        <f>D30+K30</f>
        <v>665196.193</v>
      </c>
      <c r="P30" s="128">
        <f>L30+F30</f>
        <v>254938.60418999998</v>
      </c>
      <c r="Q30" s="129">
        <f>P30-O30</f>
        <v>-410257.58881</v>
      </c>
      <c r="R30" s="138">
        <f t="shared" si="9"/>
        <v>0.38325325200711124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44">
        <v>19000000</v>
      </c>
      <c r="B31" s="87" t="s">
        <v>66</v>
      </c>
      <c r="C31" s="90"/>
      <c r="D31" s="118">
        <f>D32+D34</f>
        <v>0</v>
      </c>
      <c r="E31" s="257">
        <f>E32+E34</f>
        <v>0</v>
      </c>
      <c r="F31" s="118">
        <f>F32+F34</f>
        <v>-0.035</v>
      </c>
      <c r="G31" s="136">
        <f t="shared" si="5"/>
        <v>-0.035</v>
      </c>
      <c r="H31" s="137">
        <f t="shared" si="6"/>
      </c>
      <c r="I31" s="136">
        <f t="shared" si="10"/>
        <v>-0.035</v>
      </c>
      <c r="J31" s="137">
        <f t="shared" si="7"/>
      </c>
      <c r="K31" s="118">
        <f>K32+K34+K33</f>
        <v>4175.721</v>
      </c>
      <c r="L31" s="118">
        <f>L32+L34+L33</f>
        <v>1586.19125</v>
      </c>
      <c r="M31" s="117">
        <f t="shared" si="12"/>
        <v>-2589.5297499999997</v>
      </c>
      <c r="N31" s="140">
        <f t="shared" si="8"/>
        <v>0.3798604480519652</v>
      </c>
      <c r="O31" s="118">
        <f t="shared" si="13"/>
        <v>4175.721</v>
      </c>
      <c r="P31" s="118">
        <f t="shared" si="14"/>
        <v>1586.15625</v>
      </c>
      <c r="Q31" s="118">
        <f aca="true" t="shared" si="15" ref="Q31:Q55">P31-O31</f>
        <v>-2589.5647499999995</v>
      </c>
      <c r="R31" s="137">
        <f t="shared" si="9"/>
        <v>0.37985206626592155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45">
        <v>19010000</v>
      </c>
      <c r="B32" s="89" t="s">
        <v>67</v>
      </c>
      <c r="C32" s="90"/>
      <c r="D32" s="128">
        <v>0</v>
      </c>
      <c r="E32" s="259">
        <v>0</v>
      </c>
      <c r="F32" s="128">
        <v>0</v>
      </c>
      <c r="G32" s="128">
        <f t="shared" si="5"/>
        <v>0</v>
      </c>
      <c r="H32" s="138">
        <f t="shared" si="6"/>
      </c>
      <c r="I32" s="128">
        <f t="shared" si="10"/>
        <v>0</v>
      </c>
      <c r="J32" s="138">
        <f t="shared" si="7"/>
      </c>
      <c r="K32" s="128">
        <v>4175.721</v>
      </c>
      <c r="L32" s="128">
        <v>1586.19125</v>
      </c>
      <c r="M32" s="119">
        <f t="shared" si="12"/>
        <v>-2589.5297499999997</v>
      </c>
      <c r="N32" s="158">
        <f t="shared" si="8"/>
        <v>0.3798604480519652</v>
      </c>
      <c r="O32" s="120">
        <f t="shared" si="13"/>
        <v>4175.721</v>
      </c>
      <c r="P32" s="128">
        <f t="shared" si="14"/>
        <v>1586.19125</v>
      </c>
      <c r="Q32" s="120">
        <f t="shared" si="15"/>
        <v>-2589.5297499999997</v>
      </c>
      <c r="R32" s="138">
        <f t="shared" si="9"/>
        <v>0.3798604480519652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45">
        <v>19050000</v>
      </c>
      <c r="B33" s="89" t="s">
        <v>222</v>
      </c>
      <c r="C33" s="89"/>
      <c r="D33" s="128"/>
      <c r="E33" s="259"/>
      <c r="F33" s="128"/>
      <c r="G33" s="128"/>
      <c r="H33" s="138"/>
      <c r="I33" s="128"/>
      <c r="J33" s="138"/>
      <c r="K33" s="128">
        <v>0</v>
      </c>
      <c r="L33" s="128">
        <v>0</v>
      </c>
      <c r="M33" s="119">
        <f t="shared" si="12"/>
        <v>0</v>
      </c>
      <c r="N33" s="158">
        <f t="shared" si="8"/>
      </c>
      <c r="O33" s="120">
        <f>D33+K33</f>
        <v>0</v>
      </c>
      <c r="P33" s="128">
        <f>L33+F33</f>
        <v>0</v>
      </c>
      <c r="Q33" s="120">
        <f>P33-O33</f>
        <v>0</v>
      </c>
      <c r="R33" s="138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6" customHeight="1" hidden="1">
      <c r="A34" s="145">
        <v>19090000</v>
      </c>
      <c r="B34" s="89" t="s">
        <v>200</v>
      </c>
      <c r="C34" s="90"/>
      <c r="D34" s="128">
        <v>0</v>
      </c>
      <c r="E34" s="259">
        <v>0</v>
      </c>
      <c r="F34" s="128">
        <v>-0.035</v>
      </c>
      <c r="G34" s="128">
        <f t="shared" si="5"/>
        <v>-0.035</v>
      </c>
      <c r="H34" s="138">
        <f t="shared" si="6"/>
      </c>
      <c r="I34" s="128">
        <f t="shared" si="10"/>
        <v>-0.035</v>
      </c>
      <c r="J34" s="138">
        <f t="shared" si="7"/>
      </c>
      <c r="K34" s="128">
        <v>0</v>
      </c>
      <c r="L34" s="128">
        <v>0</v>
      </c>
      <c r="M34" s="119">
        <f t="shared" si="12"/>
        <v>0</v>
      </c>
      <c r="N34" s="158">
        <f t="shared" si="8"/>
      </c>
      <c r="O34" s="120">
        <f>D34+K34</f>
        <v>0</v>
      </c>
      <c r="P34" s="128">
        <f>L34+F34</f>
        <v>-0.035</v>
      </c>
      <c r="Q34" s="120">
        <f>P34-O34</f>
        <v>-0.035</v>
      </c>
      <c r="R34" s="138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5" customFormat="1" ht="23.25" customHeight="1">
      <c r="A35" s="147">
        <v>20000000</v>
      </c>
      <c r="B35" s="93" t="s">
        <v>19</v>
      </c>
      <c r="C35" s="94">
        <v>5750.4</v>
      </c>
      <c r="D35" s="117">
        <f>(D36+D37+D42+D46)</f>
        <v>167284.40300000002</v>
      </c>
      <c r="E35" s="117">
        <f>(E36+E37+E42+E46)</f>
        <v>50376.375</v>
      </c>
      <c r="F35" s="117">
        <f>(F36+F37+F42+F46)</f>
        <v>79469.36887000002</v>
      </c>
      <c r="G35" s="117">
        <f t="shared" si="5"/>
        <v>29092.99387000002</v>
      </c>
      <c r="H35" s="137">
        <f t="shared" si="6"/>
        <v>1.5775126509201987</v>
      </c>
      <c r="I35" s="117">
        <f aca="true" t="shared" si="16" ref="I35:I43">F35-D35</f>
        <v>-87815.03413</v>
      </c>
      <c r="J35" s="137">
        <f t="shared" si="7"/>
        <v>0.4750554591153367</v>
      </c>
      <c r="K35" s="117">
        <f>K36+K37+K42+K46</f>
        <v>418405.02178</v>
      </c>
      <c r="L35" s="117">
        <f>L36+L37+L42+L46</f>
        <v>237069.64704</v>
      </c>
      <c r="M35" s="117">
        <f aca="true" t="shared" si="17" ref="M35:M47">L35-K35</f>
        <v>-181335.37474</v>
      </c>
      <c r="N35" s="140">
        <f t="shared" si="8"/>
        <v>0.5666032545007376</v>
      </c>
      <c r="O35" s="117">
        <f t="shared" si="13"/>
        <v>585689.42478</v>
      </c>
      <c r="P35" s="117">
        <f aca="true" t="shared" si="18" ref="P35:P58">L35+F35</f>
        <v>316539.01591</v>
      </c>
      <c r="Q35" s="117">
        <f t="shared" si="15"/>
        <v>-269150.40887</v>
      </c>
      <c r="R35" s="137">
        <f t="shared" si="9"/>
        <v>0.5404554060864257</v>
      </c>
      <c r="S35" s="74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s="1" customFormat="1" ht="45.75" customHeight="1">
      <c r="A36" s="144">
        <v>21000000</v>
      </c>
      <c r="B36" s="87" t="s">
        <v>49</v>
      </c>
      <c r="C36" s="91">
        <v>1</v>
      </c>
      <c r="D36" s="264">
        <v>15918.876</v>
      </c>
      <c r="E36" s="117">
        <v>4639.121</v>
      </c>
      <c r="F36" s="264">
        <v>17471.880940000003</v>
      </c>
      <c r="G36" s="118">
        <f t="shared" si="5"/>
        <v>12832.759940000004</v>
      </c>
      <c r="H36" s="137">
        <f t="shared" si="6"/>
        <v>3.766205050482624</v>
      </c>
      <c r="I36" s="118">
        <f t="shared" si="16"/>
        <v>1553.0049400000025</v>
      </c>
      <c r="J36" s="137">
        <f t="shared" si="7"/>
        <v>1.0975574494078604</v>
      </c>
      <c r="K36" s="117">
        <v>515.2</v>
      </c>
      <c r="L36" s="117">
        <v>2537.90752</v>
      </c>
      <c r="M36" s="117">
        <f t="shared" si="17"/>
        <v>2022.7075200000002</v>
      </c>
      <c r="N36" s="140">
        <f t="shared" si="8"/>
        <v>4.926062732919255</v>
      </c>
      <c r="O36" s="118">
        <f t="shared" si="13"/>
        <v>16434.076</v>
      </c>
      <c r="P36" s="118">
        <f t="shared" si="18"/>
        <v>20009.788460000003</v>
      </c>
      <c r="Q36" s="118">
        <f t="shared" si="15"/>
        <v>3575.7124600000025</v>
      </c>
      <c r="R36" s="137">
        <f t="shared" si="9"/>
        <v>1.2175791605198858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44">
        <v>22000000</v>
      </c>
      <c r="B37" s="87" t="s">
        <v>160</v>
      </c>
      <c r="C37" s="91">
        <v>4948.8</v>
      </c>
      <c r="D37" s="118">
        <f>SUM(D38:D41)</f>
        <v>150606.13900000002</v>
      </c>
      <c r="E37" s="118">
        <f>SUM(E38:E41)</f>
        <v>45206.316</v>
      </c>
      <c r="F37" s="118">
        <f>SUM(F38:F41)</f>
        <v>49602.36792000001</v>
      </c>
      <c r="G37" s="118">
        <f t="shared" si="5"/>
        <v>4396.051920000013</v>
      </c>
      <c r="H37" s="137">
        <f t="shared" si="6"/>
        <v>1.097244197470106</v>
      </c>
      <c r="I37" s="118">
        <f t="shared" si="16"/>
        <v>-101003.77108</v>
      </c>
      <c r="J37" s="137">
        <f t="shared" si="7"/>
        <v>0.3293515672691138</v>
      </c>
      <c r="K37" s="242">
        <f>SUM(K38:K41)</f>
        <v>0</v>
      </c>
      <c r="L37" s="242">
        <f>SUM(L38:L41)</f>
        <v>0</v>
      </c>
      <c r="M37" s="117">
        <f t="shared" si="17"/>
        <v>0</v>
      </c>
      <c r="N37" s="140">
        <f t="shared" si="8"/>
      </c>
      <c r="O37" s="118">
        <f t="shared" si="13"/>
        <v>150606.13900000002</v>
      </c>
      <c r="P37" s="118">
        <f t="shared" si="18"/>
        <v>49602.36792000001</v>
      </c>
      <c r="Q37" s="118">
        <f t="shared" si="15"/>
        <v>-101003.77108</v>
      </c>
      <c r="R37" s="137">
        <f t="shared" si="9"/>
        <v>0.3293515672691138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28" customFormat="1" ht="22.5" customHeight="1">
      <c r="A38" s="236">
        <v>22010000</v>
      </c>
      <c r="B38" s="89" t="s">
        <v>94</v>
      </c>
      <c r="C38" s="95"/>
      <c r="D38" s="120">
        <v>89265.959</v>
      </c>
      <c r="E38" s="120">
        <v>24971.834</v>
      </c>
      <c r="F38" s="120">
        <v>28290.318850000007</v>
      </c>
      <c r="G38" s="128">
        <f t="shared" si="5"/>
        <v>3318.484850000008</v>
      </c>
      <c r="H38" s="220">
        <f t="shared" si="6"/>
        <v>1.1328891121893574</v>
      </c>
      <c r="I38" s="128">
        <f t="shared" si="16"/>
        <v>-60975.64014999999</v>
      </c>
      <c r="J38" s="220">
        <f t="shared" si="7"/>
        <v>0.3169216929602471</v>
      </c>
      <c r="K38" s="243"/>
      <c r="L38" s="243">
        <v>0</v>
      </c>
      <c r="M38" s="119">
        <f t="shared" si="17"/>
        <v>0</v>
      </c>
      <c r="N38" s="237">
        <f t="shared" si="8"/>
      </c>
      <c r="O38" s="120">
        <f t="shared" si="13"/>
        <v>89265.959</v>
      </c>
      <c r="P38" s="128">
        <f t="shared" si="18"/>
        <v>28290.318850000007</v>
      </c>
      <c r="Q38" s="120">
        <f t="shared" si="15"/>
        <v>-60975.64014999999</v>
      </c>
      <c r="R38" s="220">
        <f t="shared" si="9"/>
        <v>0.3169216929602471</v>
      </c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</row>
    <row r="39" spans="1:33" s="228" customFormat="1" ht="61.5" customHeight="1">
      <c r="A39" s="236">
        <v>22080000</v>
      </c>
      <c r="B39" s="89" t="s">
        <v>161</v>
      </c>
      <c r="C39" s="90">
        <v>259.6</v>
      </c>
      <c r="D39" s="120">
        <v>60524.09</v>
      </c>
      <c r="E39" s="120">
        <v>20035.45</v>
      </c>
      <c r="F39" s="120">
        <v>20942.051099999997</v>
      </c>
      <c r="G39" s="128">
        <f t="shared" si="5"/>
        <v>906.6010999999962</v>
      </c>
      <c r="H39" s="220">
        <f t="shared" si="6"/>
        <v>1.0452498496415101</v>
      </c>
      <c r="I39" s="128">
        <f t="shared" si="16"/>
        <v>-39582.0389</v>
      </c>
      <c r="J39" s="220">
        <f t="shared" si="7"/>
        <v>0.34601182933935887</v>
      </c>
      <c r="K39" s="243"/>
      <c r="L39" s="243">
        <v>0</v>
      </c>
      <c r="M39" s="119">
        <f t="shared" si="17"/>
        <v>0</v>
      </c>
      <c r="N39" s="237">
        <f t="shared" si="8"/>
      </c>
      <c r="O39" s="120">
        <f t="shared" si="13"/>
        <v>60524.09</v>
      </c>
      <c r="P39" s="128">
        <f t="shared" si="18"/>
        <v>20942.051099999997</v>
      </c>
      <c r="Q39" s="120">
        <f t="shared" si="15"/>
        <v>-39582.0389</v>
      </c>
      <c r="R39" s="220">
        <f t="shared" si="9"/>
        <v>0.34601182933935887</v>
      </c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</row>
    <row r="40" spans="1:33" s="228" customFormat="1" ht="23.25" customHeight="1">
      <c r="A40" s="236">
        <v>22090000</v>
      </c>
      <c r="B40" s="89" t="s">
        <v>29</v>
      </c>
      <c r="C40" s="90">
        <v>4672.3</v>
      </c>
      <c r="D40" s="120">
        <v>779.833</v>
      </c>
      <c r="E40" s="120">
        <v>191.475</v>
      </c>
      <c r="F40" s="120">
        <v>216.29733000000002</v>
      </c>
      <c r="G40" s="128">
        <f t="shared" si="5"/>
        <v>24.822330000000022</v>
      </c>
      <c r="H40" s="220">
        <f t="shared" si="6"/>
        <v>1.1296374461417942</v>
      </c>
      <c r="I40" s="128">
        <f t="shared" si="16"/>
        <v>-563.53567</v>
      </c>
      <c r="J40" s="220">
        <f t="shared" si="7"/>
        <v>0.2773636535001725</v>
      </c>
      <c r="K40" s="243"/>
      <c r="L40" s="243">
        <v>0</v>
      </c>
      <c r="M40" s="119">
        <f t="shared" si="17"/>
        <v>0</v>
      </c>
      <c r="N40" s="237">
        <f t="shared" si="8"/>
      </c>
      <c r="O40" s="120">
        <f t="shared" si="13"/>
        <v>779.833</v>
      </c>
      <c r="P40" s="128">
        <f t="shared" si="18"/>
        <v>216.29733000000002</v>
      </c>
      <c r="Q40" s="120">
        <f t="shared" si="15"/>
        <v>-563.53567</v>
      </c>
      <c r="R40" s="220">
        <f t="shared" si="9"/>
        <v>0.2773636535001725</v>
      </c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</row>
    <row r="41" spans="1:33" s="228" customFormat="1" ht="120" customHeight="1">
      <c r="A41" s="236">
        <v>22130000</v>
      </c>
      <c r="B41" s="89" t="s">
        <v>179</v>
      </c>
      <c r="C41" s="90"/>
      <c r="D41" s="120">
        <v>36.257</v>
      </c>
      <c r="E41" s="120">
        <v>7.557</v>
      </c>
      <c r="F41" s="120">
        <v>153.70064000000002</v>
      </c>
      <c r="G41" s="128">
        <f t="shared" si="5"/>
        <v>146.14364000000003</v>
      </c>
      <c r="H41" s="220">
        <f t="shared" si="6"/>
        <v>20.338843456398042</v>
      </c>
      <c r="I41" s="128">
        <f t="shared" si="16"/>
        <v>117.44364000000002</v>
      </c>
      <c r="J41" s="220">
        <f t="shared" si="7"/>
        <v>4.239199051217697</v>
      </c>
      <c r="K41" s="243"/>
      <c r="L41" s="243">
        <v>0</v>
      </c>
      <c r="M41" s="119">
        <f t="shared" si="17"/>
        <v>0</v>
      </c>
      <c r="N41" s="237">
        <f t="shared" si="8"/>
      </c>
      <c r="O41" s="120">
        <f t="shared" si="13"/>
        <v>36.257</v>
      </c>
      <c r="P41" s="128">
        <f t="shared" si="18"/>
        <v>153.70064000000002</v>
      </c>
      <c r="Q41" s="120">
        <f t="shared" si="15"/>
        <v>117.44364000000002</v>
      </c>
      <c r="R41" s="220">
        <f t="shared" si="9"/>
        <v>4.239199051217697</v>
      </c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</row>
    <row r="42" spans="1:33" s="1" customFormat="1" ht="20.25" customHeight="1">
      <c r="A42" s="144">
        <v>24000000</v>
      </c>
      <c r="B42" s="87" t="s">
        <v>36</v>
      </c>
      <c r="C42" s="91">
        <f>C43+C46</f>
        <v>300.2</v>
      </c>
      <c r="D42" s="118">
        <f>SUM(D43:D44)</f>
        <v>759.388</v>
      </c>
      <c r="E42" s="118">
        <f>SUM(E43:E44)</f>
        <v>530.938</v>
      </c>
      <c r="F42" s="118">
        <f>SUM(F43:F44)</f>
        <v>12395.120009999999</v>
      </c>
      <c r="G42" s="118">
        <f t="shared" si="5"/>
        <v>11864.182009999999</v>
      </c>
      <c r="H42" s="137">
        <f t="shared" si="6"/>
        <v>23.34570140016348</v>
      </c>
      <c r="I42" s="118">
        <f t="shared" si="16"/>
        <v>11635.732009999998</v>
      </c>
      <c r="J42" s="137">
        <f t="shared" si="7"/>
        <v>16.322512352051913</v>
      </c>
      <c r="K42" s="118">
        <f>K43+K44+K45</f>
        <v>2123.1679999999997</v>
      </c>
      <c r="L42" s="118">
        <f>L43+L44+L45</f>
        <v>2961.82744</v>
      </c>
      <c r="M42" s="117">
        <f t="shared" si="17"/>
        <v>838.6594400000004</v>
      </c>
      <c r="N42" s="140">
        <f t="shared" si="8"/>
        <v>1.3950038056338454</v>
      </c>
      <c r="O42" s="118">
        <f t="shared" si="13"/>
        <v>2882.5559999999996</v>
      </c>
      <c r="P42" s="118">
        <f t="shared" si="18"/>
        <v>15356.94745</v>
      </c>
      <c r="Q42" s="118">
        <f t="shared" si="15"/>
        <v>12474.39145</v>
      </c>
      <c r="R42" s="137">
        <f t="shared" si="9"/>
        <v>5.327545223752809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28" customFormat="1" ht="24" customHeight="1">
      <c r="A43" s="236">
        <v>24060000</v>
      </c>
      <c r="B43" s="89" t="s">
        <v>20</v>
      </c>
      <c r="C43" s="90">
        <v>300.2</v>
      </c>
      <c r="D43" s="120">
        <v>759.388</v>
      </c>
      <c r="E43" s="120">
        <v>530.938</v>
      </c>
      <c r="F43" s="120">
        <v>12395.120009999999</v>
      </c>
      <c r="G43" s="128">
        <f t="shared" si="5"/>
        <v>11864.182009999999</v>
      </c>
      <c r="H43" s="220">
        <f t="shared" si="6"/>
        <v>23.34570140016348</v>
      </c>
      <c r="I43" s="128">
        <f t="shared" si="16"/>
        <v>11635.732009999998</v>
      </c>
      <c r="J43" s="220">
        <f t="shared" si="7"/>
        <v>16.322512352051913</v>
      </c>
      <c r="K43" s="128">
        <v>573.055</v>
      </c>
      <c r="L43" s="128">
        <v>709.24718</v>
      </c>
      <c r="M43" s="119">
        <f t="shared" si="17"/>
        <v>136.19218</v>
      </c>
      <c r="N43" s="237">
        <f t="shared" si="8"/>
        <v>1.2376598755791328</v>
      </c>
      <c r="O43" s="120">
        <f t="shared" si="13"/>
        <v>1332.443</v>
      </c>
      <c r="P43" s="128">
        <f>L43+F43</f>
        <v>13104.367189999999</v>
      </c>
      <c r="Q43" s="120">
        <f t="shared" si="15"/>
        <v>11771.92419</v>
      </c>
      <c r="R43" s="220">
        <f t="shared" si="9"/>
        <v>9.834842608651927</v>
      </c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228" customFormat="1" ht="55.5" customHeight="1">
      <c r="A44" s="236">
        <v>24110000</v>
      </c>
      <c r="B44" s="89" t="s">
        <v>60</v>
      </c>
      <c r="C44" s="90"/>
      <c r="D44" s="128">
        <v>0</v>
      </c>
      <c r="E44" s="128">
        <v>0</v>
      </c>
      <c r="F44" s="128">
        <v>0</v>
      </c>
      <c r="G44" s="128">
        <f t="shared" si="5"/>
        <v>0</v>
      </c>
      <c r="H44" s="220">
        <f t="shared" si="6"/>
      </c>
      <c r="I44" s="128"/>
      <c r="J44" s="220">
        <f t="shared" si="7"/>
      </c>
      <c r="K44" s="128">
        <v>17.313</v>
      </c>
      <c r="L44" s="128">
        <v>1.8876199999999999</v>
      </c>
      <c r="M44" s="119">
        <f t="shared" si="17"/>
        <v>-15.425379999999999</v>
      </c>
      <c r="N44" s="237">
        <f t="shared" si="8"/>
        <v>0.1090290533125397</v>
      </c>
      <c r="O44" s="120">
        <f t="shared" si="13"/>
        <v>17.313</v>
      </c>
      <c r="P44" s="128">
        <f>L44+F44</f>
        <v>1.8876199999999999</v>
      </c>
      <c r="Q44" s="120">
        <f t="shared" si="15"/>
        <v>-15.425379999999999</v>
      </c>
      <c r="R44" s="220">
        <f t="shared" si="9"/>
        <v>0.1090290533125397</v>
      </c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s="228" customFormat="1" ht="53.25" customHeight="1">
      <c r="A45" s="236" t="s">
        <v>68</v>
      </c>
      <c r="B45" s="89" t="s">
        <v>69</v>
      </c>
      <c r="C45" s="90"/>
      <c r="D45" s="128">
        <v>0</v>
      </c>
      <c r="E45" s="128">
        <v>0</v>
      </c>
      <c r="F45" s="128">
        <v>0</v>
      </c>
      <c r="G45" s="128">
        <f t="shared" si="5"/>
        <v>0</v>
      </c>
      <c r="H45" s="220">
        <f t="shared" si="6"/>
      </c>
      <c r="I45" s="128"/>
      <c r="J45" s="220">
        <f t="shared" si="7"/>
      </c>
      <c r="K45" s="128">
        <v>1532.8</v>
      </c>
      <c r="L45" s="128">
        <v>2250.69264</v>
      </c>
      <c r="M45" s="119">
        <f t="shared" si="17"/>
        <v>717.8926400000003</v>
      </c>
      <c r="N45" s="237">
        <f t="shared" si="8"/>
        <v>1.4683537578288102</v>
      </c>
      <c r="O45" s="120">
        <f t="shared" si="13"/>
        <v>1532.8</v>
      </c>
      <c r="P45" s="128">
        <f>L45+F45</f>
        <v>2250.69264</v>
      </c>
      <c r="Q45" s="120">
        <f t="shared" si="15"/>
        <v>717.8926400000003</v>
      </c>
      <c r="R45" s="220">
        <f t="shared" si="9"/>
        <v>1.4683537578288102</v>
      </c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</row>
    <row r="46" spans="1:33" s="1" customFormat="1" ht="22.5" customHeight="1">
      <c r="A46" s="144">
        <v>25000000</v>
      </c>
      <c r="B46" s="87" t="s">
        <v>30</v>
      </c>
      <c r="C46" s="91"/>
      <c r="D46" s="118">
        <v>0</v>
      </c>
      <c r="E46" s="257">
        <v>0</v>
      </c>
      <c r="F46" s="118">
        <v>0</v>
      </c>
      <c r="G46" s="128">
        <f t="shared" si="5"/>
        <v>0</v>
      </c>
      <c r="H46" s="137">
        <f t="shared" si="6"/>
      </c>
      <c r="I46" s="118">
        <f>F46-D46</f>
        <v>0</v>
      </c>
      <c r="J46" s="137">
        <f t="shared" si="7"/>
      </c>
      <c r="K46" s="118">
        <v>415766.65378</v>
      </c>
      <c r="L46" s="118">
        <v>231569.91208</v>
      </c>
      <c r="M46" s="117">
        <f t="shared" si="17"/>
        <v>-184196.74169999998</v>
      </c>
      <c r="N46" s="140">
        <f t="shared" si="8"/>
        <v>0.5569708632826855</v>
      </c>
      <c r="O46" s="118">
        <f t="shared" si="13"/>
        <v>415766.65378</v>
      </c>
      <c r="P46" s="136">
        <f>L46+F46</f>
        <v>231569.91208</v>
      </c>
      <c r="Q46" s="118">
        <f t="shared" si="15"/>
        <v>-184196.74169999998</v>
      </c>
      <c r="R46" s="137">
        <f t="shared" si="9"/>
        <v>0.5569708632826855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44">
        <v>30000000</v>
      </c>
      <c r="B47" s="87" t="s">
        <v>46</v>
      </c>
      <c r="C47" s="95"/>
      <c r="D47" s="120">
        <v>25</v>
      </c>
      <c r="E47" s="120">
        <v>5</v>
      </c>
      <c r="F47" s="120">
        <v>31.30273</v>
      </c>
      <c r="G47" s="136">
        <f t="shared" si="5"/>
        <v>26.30273</v>
      </c>
      <c r="H47" s="137">
        <f t="shared" si="6"/>
        <v>6.260546</v>
      </c>
      <c r="I47" s="118">
        <f>F47-D47</f>
        <v>6.30273</v>
      </c>
      <c r="J47" s="137">
        <f t="shared" si="7"/>
        <v>1.2521092</v>
      </c>
      <c r="K47" s="128">
        <v>164212.526</v>
      </c>
      <c r="L47" s="128">
        <v>67541.68951000001</v>
      </c>
      <c r="M47" s="117">
        <f t="shared" si="17"/>
        <v>-96670.83649</v>
      </c>
      <c r="N47" s="140">
        <f t="shared" si="8"/>
        <v>0.41130656202194954</v>
      </c>
      <c r="O47" s="118">
        <f t="shared" si="13"/>
        <v>164237.526</v>
      </c>
      <c r="P47" s="118">
        <f t="shared" si="18"/>
        <v>67572.99224</v>
      </c>
      <c r="Q47" s="118">
        <f t="shared" si="15"/>
        <v>-96664.53376</v>
      </c>
      <c r="R47" s="137">
        <f t="shared" si="9"/>
        <v>0.4114345477902535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5" customFormat="1" ht="60.75">
      <c r="A48" s="147" t="s">
        <v>167</v>
      </c>
      <c r="B48" s="93" t="s">
        <v>168</v>
      </c>
      <c r="C48" s="96"/>
      <c r="D48" s="117">
        <v>0</v>
      </c>
      <c r="E48" s="260">
        <v>0</v>
      </c>
      <c r="F48" s="117">
        <v>0</v>
      </c>
      <c r="G48" s="118">
        <f>F48-E48</f>
        <v>0</v>
      </c>
      <c r="H48" s="137">
        <f t="shared" si="6"/>
      </c>
      <c r="I48" s="118">
        <f>F48-D48</f>
        <v>0</v>
      </c>
      <c r="J48" s="137">
        <f t="shared" si="7"/>
      </c>
      <c r="K48" s="128">
        <v>262708</v>
      </c>
      <c r="L48" s="128">
        <v>6081.33053</v>
      </c>
      <c r="M48" s="117">
        <f aca="true" t="shared" si="19" ref="M48:M56">L48-K48</f>
        <v>-256626.66947</v>
      </c>
      <c r="N48" s="140">
        <f t="shared" si="8"/>
        <v>0.023148630913409567</v>
      </c>
      <c r="O48" s="117">
        <f>D48+K48</f>
        <v>262708</v>
      </c>
      <c r="P48" s="117">
        <f>L48+F48</f>
        <v>6081.33053</v>
      </c>
      <c r="Q48" s="117">
        <f>P48-O48</f>
        <v>-256626.66947</v>
      </c>
      <c r="R48" s="137">
        <f t="shared" si="9"/>
        <v>0.023148630913409567</v>
      </c>
      <c r="S48" s="74"/>
      <c r="T48" s="74"/>
      <c r="U48" s="74"/>
      <c r="V48" s="74"/>
      <c r="W48" s="77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s="1" customFormat="1" ht="30" customHeight="1">
      <c r="A49" s="144">
        <v>50000000</v>
      </c>
      <c r="B49" s="87" t="s">
        <v>21</v>
      </c>
      <c r="C49" s="91" t="e">
        <f>#REF!+C50</f>
        <v>#REF!</v>
      </c>
      <c r="D49" s="118">
        <f>D50</f>
        <v>0</v>
      </c>
      <c r="E49" s="257">
        <f>E50</f>
        <v>0</v>
      </c>
      <c r="F49" s="118">
        <f>F50</f>
        <v>0</v>
      </c>
      <c r="G49" s="118">
        <f>F49-E49</f>
        <v>0</v>
      </c>
      <c r="H49" s="137">
        <f t="shared" si="6"/>
      </c>
      <c r="I49" s="118">
        <f>F49-D49</f>
        <v>0</v>
      </c>
      <c r="J49" s="137">
        <f t="shared" si="7"/>
      </c>
      <c r="K49" s="118">
        <f>K50</f>
        <v>13176.43</v>
      </c>
      <c r="L49" s="118">
        <f>L50</f>
        <v>5650.57925</v>
      </c>
      <c r="M49" s="117">
        <f t="shared" si="19"/>
        <v>-7525.8507500000005</v>
      </c>
      <c r="N49" s="140">
        <f t="shared" si="8"/>
        <v>0.42883992477476823</v>
      </c>
      <c r="O49" s="118">
        <f t="shared" si="13"/>
        <v>13176.43</v>
      </c>
      <c r="P49" s="118">
        <f t="shared" si="18"/>
        <v>5650.57925</v>
      </c>
      <c r="Q49" s="118">
        <f t="shared" si="15"/>
        <v>-7525.8507500000005</v>
      </c>
      <c r="R49" s="137">
        <f t="shared" si="9"/>
        <v>0.42883992477476823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28" customFormat="1" ht="81" customHeight="1">
      <c r="A50" s="236">
        <v>50110000</v>
      </c>
      <c r="B50" s="89" t="s">
        <v>162</v>
      </c>
      <c r="C50" s="90"/>
      <c r="D50" s="128">
        <v>0</v>
      </c>
      <c r="E50" s="259">
        <v>0</v>
      </c>
      <c r="F50" s="128">
        <v>0</v>
      </c>
      <c r="G50" s="128">
        <f t="shared" si="5"/>
        <v>0</v>
      </c>
      <c r="H50" s="220">
        <f t="shared" si="6"/>
      </c>
      <c r="I50" s="128"/>
      <c r="J50" s="220">
        <f t="shared" si="7"/>
      </c>
      <c r="K50" s="128">
        <v>13176.43</v>
      </c>
      <c r="L50" s="128">
        <v>5650.57925</v>
      </c>
      <c r="M50" s="119">
        <f t="shared" si="19"/>
        <v>-7525.8507500000005</v>
      </c>
      <c r="N50" s="237">
        <f t="shared" si="8"/>
        <v>0.42883992477476823</v>
      </c>
      <c r="O50" s="120">
        <f t="shared" si="13"/>
        <v>13176.43</v>
      </c>
      <c r="P50" s="128">
        <f t="shared" si="18"/>
        <v>5650.57925</v>
      </c>
      <c r="Q50" s="120">
        <f t="shared" si="15"/>
        <v>-7525.8507500000005</v>
      </c>
      <c r="R50" s="220">
        <f t="shared" si="9"/>
        <v>0.42883992477476823</v>
      </c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</row>
    <row r="51" spans="1:33" ht="20.25" customHeight="1">
      <c r="A51" s="8">
        <v>900101</v>
      </c>
      <c r="B51" s="97" t="s">
        <v>22</v>
      </c>
      <c r="C51" s="98" t="e">
        <f>C10+C35+C49+#REF!</f>
        <v>#REF!</v>
      </c>
      <c r="D51" s="132">
        <f>D10+D35+D49+D47</f>
        <v>5777988.046429999</v>
      </c>
      <c r="E51" s="132">
        <f>E10+E35+E49+E47</f>
        <v>1895488.0374300003</v>
      </c>
      <c r="F51" s="132">
        <f>F10+F35+F49+F47</f>
        <v>2087840.2676700004</v>
      </c>
      <c r="G51" s="132">
        <f t="shared" si="5"/>
        <v>192352.23024000018</v>
      </c>
      <c r="H51" s="139">
        <f aca="true" t="shared" si="20" ref="H51:H60">_xlfn.IFERROR(F51/E51,"")</f>
        <v>1.1014789998362644</v>
      </c>
      <c r="I51" s="132">
        <f aca="true" t="shared" si="21" ref="I51:I60">F51-D51</f>
        <v>-3690147.7787599987</v>
      </c>
      <c r="J51" s="139">
        <f aca="true" t="shared" si="22" ref="J51:J60">_xlfn.IFERROR(F51/D51,"")</f>
        <v>0.36134381914479696</v>
      </c>
      <c r="K51" s="132">
        <f>K10+K35+K47+K49+K48</f>
        <v>862677.6987800001</v>
      </c>
      <c r="L51" s="132">
        <f>L10+L35+L47+L49+L48</f>
        <v>317929.43758</v>
      </c>
      <c r="M51" s="132">
        <f t="shared" si="19"/>
        <v>-544748.2612000001</v>
      </c>
      <c r="N51" s="139">
        <f aca="true" t="shared" si="23" ref="N51:N60">_xlfn.IFERROR(L51/K51,"")</f>
        <v>0.3685379117016891</v>
      </c>
      <c r="O51" s="132">
        <f t="shared" si="13"/>
        <v>6640665.745209999</v>
      </c>
      <c r="P51" s="132">
        <f t="shared" si="18"/>
        <v>2405769.7052500006</v>
      </c>
      <c r="Q51" s="132">
        <f t="shared" si="15"/>
        <v>-4234896.039959999</v>
      </c>
      <c r="R51" s="139">
        <f aca="true" t="shared" si="24" ref="R51:R61">_xlfn.IFERROR(P51/O51,"")</f>
        <v>0.36227839158827024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44">
        <v>40000000</v>
      </c>
      <c r="B52" s="87" t="s">
        <v>31</v>
      </c>
      <c r="C52" s="99">
        <f>C53+C85</f>
        <v>226954.7</v>
      </c>
      <c r="D52" s="117">
        <f>D53</f>
        <v>4247880</v>
      </c>
      <c r="E52" s="117">
        <f>E53</f>
        <v>1366113.1</v>
      </c>
      <c r="F52" s="118">
        <f>F53</f>
        <v>1365289</v>
      </c>
      <c r="G52" s="118">
        <f t="shared" si="5"/>
        <v>-824.1000000000931</v>
      </c>
      <c r="H52" s="157">
        <f t="shared" si="20"/>
        <v>0.9993967556566143</v>
      </c>
      <c r="I52" s="118">
        <f t="shared" si="21"/>
        <v>-2882591</v>
      </c>
      <c r="J52" s="157">
        <f t="shared" si="22"/>
        <v>0.3214047948623784</v>
      </c>
      <c r="K52" s="117">
        <f>K53</f>
        <v>247808.7</v>
      </c>
      <c r="L52" s="117">
        <f>L53</f>
        <v>74570.8</v>
      </c>
      <c r="M52" s="118">
        <f t="shared" si="19"/>
        <v>-173237.90000000002</v>
      </c>
      <c r="N52" s="157">
        <f t="shared" si="23"/>
        <v>0.30092083127025</v>
      </c>
      <c r="O52" s="118">
        <f t="shared" si="13"/>
        <v>4495688.7</v>
      </c>
      <c r="P52" s="118">
        <f t="shared" si="18"/>
        <v>1439859.8</v>
      </c>
      <c r="Q52" s="118">
        <f t="shared" si="15"/>
        <v>-3055828.9000000004</v>
      </c>
      <c r="R52" s="157">
        <f t="shared" si="24"/>
        <v>0.3202756899070881</v>
      </c>
    </row>
    <row r="53" spans="1:18" s="1" customFormat="1" ht="23.25" customHeight="1">
      <c r="A53" s="144">
        <v>41000000</v>
      </c>
      <c r="B53" s="87" t="s">
        <v>32</v>
      </c>
      <c r="C53" s="99">
        <f>C54+C58</f>
        <v>226954.7</v>
      </c>
      <c r="D53" s="118">
        <f>D54+D58</f>
        <v>4247880</v>
      </c>
      <c r="E53" s="118">
        <f>E54+E58</f>
        <v>1366113.1</v>
      </c>
      <c r="F53" s="118">
        <f>F54+F58</f>
        <v>1365289</v>
      </c>
      <c r="G53" s="118">
        <f t="shared" si="5"/>
        <v>-824.1000000000931</v>
      </c>
      <c r="H53" s="157">
        <f t="shared" si="20"/>
        <v>0.9993967556566143</v>
      </c>
      <c r="I53" s="118">
        <f t="shared" si="21"/>
        <v>-2882591</v>
      </c>
      <c r="J53" s="157">
        <f t="shared" si="22"/>
        <v>0.3214047948623784</v>
      </c>
      <c r="K53" s="117">
        <f>K54+K58</f>
        <v>247808.7</v>
      </c>
      <c r="L53" s="117">
        <f>L54+L58</f>
        <v>74570.8</v>
      </c>
      <c r="M53" s="118">
        <f t="shared" si="19"/>
        <v>-173237.90000000002</v>
      </c>
      <c r="N53" s="157">
        <f t="shared" si="23"/>
        <v>0.30092083127025</v>
      </c>
      <c r="O53" s="118">
        <f t="shared" si="13"/>
        <v>4495688.7</v>
      </c>
      <c r="P53" s="118">
        <f t="shared" si="18"/>
        <v>1439859.8</v>
      </c>
      <c r="Q53" s="118">
        <f t="shared" si="15"/>
        <v>-3055828.9000000004</v>
      </c>
      <c r="R53" s="157">
        <f t="shared" si="24"/>
        <v>0.3202756899070881</v>
      </c>
    </row>
    <row r="54" spans="1:18" s="78" customFormat="1" ht="23.25" customHeight="1">
      <c r="A54" s="144">
        <v>41020000</v>
      </c>
      <c r="B54" s="115" t="s">
        <v>44</v>
      </c>
      <c r="C54" s="100">
        <f>SUM(C55:C55)</f>
        <v>226954.7</v>
      </c>
      <c r="D54" s="133">
        <f>D55+D56+D57</f>
        <v>1657188.9999999998</v>
      </c>
      <c r="E54" s="133">
        <f>E55+E56+E57</f>
        <v>553293.2</v>
      </c>
      <c r="F54" s="133">
        <f>F55+F56+F57</f>
        <v>553293.2</v>
      </c>
      <c r="G54" s="118">
        <f t="shared" si="5"/>
        <v>0</v>
      </c>
      <c r="H54" s="157">
        <f t="shared" si="20"/>
        <v>1</v>
      </c>
      <c r="I54" s="133">
        <f t="shared" si="21"/>
        <v>-1103895.7999999998</v>
      </c>
      <c r="J54" s="157">
        <f t="shared" si="22"/>
        <v>0.3338745309074584</v>
      </c>
      <c r="K54" s="248">
        <f>K55+K56</f>
        <v>0</v>
      </c>
      <c r="L54" s="248">
        <f>L55+L56</f>
        <v>0</v>
      </c>
      <c r="M54" s="118">
        <f t="shared" si="19"/>
        <v>0</v>
      </c>
      <c r="N54" s="157">
        <f t="shared" si="23"/>
      </c>
      <c r="O54" s="127">
        <f t="shared" si="13"/>
        <v>1657188.9999999998</v>
      </c>
      <c r="P54" s="133">
        <f t="shared" si="18"/>
        <v>553293.2</v>
      </c>
      <c r="Q54" s="127">
        <f t="shared" si="15"/>
        <v>-1103895.7999999998</v>
      </c>
      <c r="R54" s="157">
        <f t="shared" si="24"/>
        <v>0.3338745309074584</v>
      </c>
    </row>
    <row r="55" spans="1:18" s="228" customFormat="1" ht="29.25" customHeight="1">
      <c r="A55" s="236">
        <v>41020100</v>
      </c>
      <c r="B55" s="89" t="s">
        <v>82</v>
      </c>
      <c r="C55" s="101">
        <v>226954.7</v>
      </c>
      <c r="D55" s="120">
        <v>1511734.4</v>
      </c>
      <c r="E55" s="120">
        <v>503911.2</v>
      </c>
      <c r="F55" s="120">
        <v>503911.2</v>
      </c>
      <c r="G55" s="118">
        <f t="shared" si="5"/>
        <v>0</v>
      </c>
      <c r="H55" s="237">
        <f t="shared" si="20"/>
        <v>1</v>
      </c>
      <c r="I55" s="128">
        <f t="shared" si="21"/>
        <v>-1007823.2</v>
      </c>
      <c r="J55" s="237">
        <f t="shared" si="22"/>
        <v>0.333333156935504</v>
      </c>
      <c r="K55" s="249">
        <v>0</v>
      </c>
      <c r="L55" s="249">
        <v>0</v>
      </c>
      <c r="M55" s="127">
        <f t="shared" si="19"/>
        <v>0</v>
      </c>
      <c r="N55" s="237">
        <f t="shared" si="23"/>
      </c>
      <c r="O55" s="120">
        <f t="shared" si="13"/>
        <v>1511734.4</v>
      </c>
      <c r="P55" s="128">
        <f t="shared" si="18"/>
        <v>503911.2</v>
      </c>
      <c r="Q55" s="120">
        <f t="shared" si="15"/>
        <v>-1007823.2</v>
      </c>
      <c r="R55" s="237">
        <f t="shared" si="24"/>
        <v>0.333333156935504</v>
      </c>
    </row>
    <row r="56" spans="1:18" s="228" customFormat="1" ht="84" customHeight="1">
      <c r="A56" s="236">
        <v>41020200</v>
      </c>
      <c r="B56" s="89" t="s">
        <v>135</v>
      </c>
      <c r="C56" s="101"/>
      <c r="D56" s="120">
        <v>114236.4</v>
      </c>
      <c r="E56" s="120">
        <v>38078</v>
      </c>
      <c r="F56" s="120">
        <v>38078</v>
      </c>
      <c r="G56" s="118">
        <f t="shared" si="5"/>
        <v>0</v>
      </c>
      <c r="H56" s="237">
        <f t="shared" si="20"/>
        <v>1</v>
      </c>
      <c r="I56" s="128">
        <f t="shared" si="21"/>
        <v>-76158.4</v>
      </c>
      <c r="J56" s="237">
        <f t="shared" si="22"/>
        <v>0.3333263303115294</v>
      </c>
      <c r="K56" s="249">
        <v>0</v>
      </c>
      <c r="L56" s="249">
        <v>0</v>
      </c>
      <c r="M56" s="127">
        <f t="shared" si="19"/>
        <v>0</v>
      </c>
      <c r="N56" s="237">
        <f t="shared" si="23"/>
      </c>
      <c r="O56" s="120">
        <f t="shared" si="13"/>
        <v>114236.4</v>
      </c>
      <c r="P56" s="128">
        <f>L56+F56</f>
        <v>38078</v>
      </c>
      <c r="Q56" s="120">
        <f aca="true" t="shared" si="25" ref="Q56:Q61">P56-O56</f>
        <v>-76158.4</v>
      </c>
      <c r="R56" s="237">
        <f t="shared" si="24"/>
        <v>0.3333263303115294</v>
      </c>
    </row>
    <row r="57" spans="1:18" s="228" customFormat="1" ht="121.5">
      <c r="A57" s="236" t="s">
        <v>225</v>
      </c>
      <c r="B57" s="89" t="s">
        <v>226</v>
      </c>
      <c r="C57" s="101"/>
      <c r="D57" s="120">
        <v>31218.2</v>
      </c>
      <c r="E57" s="120">
        <v>11304</v>
      </c>
      <c r="F57" s="120">
        <v>11304</v>
      </c>
      <c r="G57" s="118">
        <f t="shared" si="5"/>
        <v>0</v>
      </c>
      <c r="H57" s="237">
        <f>_xlfn.IFERROR(F57/E57,"")</f>
        <v>1</v>
      </c>
      <c r="I57" s="128">
        <f>F57-D57</f>
        <v>-19914.2</v>
      </c>
      <c r="J57" s="237">
        <f>_xlfn.IFERROR(F57/D57,"")</f>
        <v>0.36209646936722806</v>
      </c>
      <c r="K57" s="249">
        <v>0</v>
      </c>
      <c r="L57" s="249">
        <v>0</v>
      </c>
      <c r="M57" s="127">
        <f>L57-K57</f>
        <v>0</v>
      </c>
      <c r="N57" s="237">
        <f>_xlfn.IFERROR(L57/K57,"")</f>
      </c>
      <c r="O57" s="120">
        <f>D57+K57</f>
        <v>31218.2</v>
      </c>
      <c r="P57" s="128">
        <f>L57+F57</f>
        <v>11304</v>
      </c>
      <c r="Q57" s="120">
        <f t="shared" si="25"/>
        <v>-19914.2</v>
      </c>
      <c r="R57" s="237">
        <f>_xlfn.IFERROR(P57/O57,"")</f>
        <v>0.36209646936722806</v>
      </c>
    </row>
    <row r="58" spans="1:18" s="1" customFormat="1" ht="23.25" customHeight="1">
      <c r="A58" s="144">
        <v>41030000</v>
      </c>
      <c r="B58" s="102" t="s">
        <v>45</v>
      </c>
      <c r="C58" s="91">
        <f>C77</f>
        <v>0</v>
      </c>
      <c r="D58" s="118">
        <f>SUM(D59:D78)</f>
        <v>2590691</v>
      </c>
      <c r="E58" s="118">
        <f>SUM(E59:E78)</f>
        <v>812819.9</v>
      </c>
      <c r="F58" s="118">
        <f>SUM(F59:F78)</f>
        <v>811995.8</v>
      </c>
      <c r="G58" s="118">
        <f t="shared" si="5"/>
        <v>-824.0999999999767</v>
      </c>
      <c r="H58" s="157">
        <f t="shared" si="20"/>
        <v>0.998986122263985</v>
      </c>
      <c r="I58" s="118">
        <f t="shared" si="21"/>
        <v>-1778695.2</v>
      </c>
      <c r="J58" s="157">
        <f t="shared" si="22"/>
        <v>0.3134282706814514</v>
      </c>
      <c r="K58" s="117">
        <f>SUM(K59:K78)</f>
        <v>247808.7</v>
      </c>
      <c r="L58" s="117">
        <f>SUM(L59:L78)</f>
        <v>74570.8</v>
      </c>
      <c r="M58" s="117">
        <f>SUM(M59:M77)</f>
        <v>-173237.90000000002</v>
      </c>
      <c r="N58" s="157">
        <f t="shared" si="23"/>
        <v>0.30092083127025</v>
      </c>
      <c r="O58" s="118">
        <f t="shared" si="13"/>
        <v>2838499.7</v>
      </c>
      <c r="P58" s="118">
        <f t="shared" si="18"/>
        <v>886566.6000000001</v>
      </c>
      <c r="Q58" s="118">
        <f t="shared" si="25"/>
        <v>-1951933.1</v>
      </c>
      <c r="R58" s="157">
        <f t="shared" si="24"/>
        <v>0.31233633739682976</v>
      </c>
    </row>
    <row r="59" spans="1:18" s="1" customFormat="1" ht="101.25" customHeight="1" hidden="1">
      <c r="A59" s="145">
        <v>41030400</v>
      </c>
      <c r="B59" s="151" t="s">
        <v>198</v>
      </c>
      <c r="C59" s="91"/>
      <c r="D59" s="120"/>
      <c r="E59" s="120"/>
      <c r="F59" s="120"/>
      <c r="G59" s="118">
        <f t="shared" si="5"/>
        <v>0</v>
      </c>
      <c r="H59" s="157">
        <f t="shared" si="20"/>
      </c>
      <c r="I59" s="120">
        <f t="shared" si="21"/>
        <v>0</v>
      </c>
      <c r="J59" s="157">
        <f t="shared" si="22"/>
      </c>
      <c r="K59" s="250"/>
      <c r="L59" s="250"/>
      <c r="M59" s="120">
        <f>L59-K59</f>
        <v>0</v>
      </c>
      <c r="N59" s="157">
        <f t="shared" si="23"/>
      </c>
      <c r="O59" s="120">
        <f>D59+K59</f>
        <v>0</v>
      </c>
      <c r="P59" s="120">
        <f>L59+F59</f>
        <v>0</v>
      </c>
      <c r="Q59" s="120">
        <f t="shared" si="25"/>
        <v>0</v>
      </c>
      <c r="R59" s="157">
        <f t="shared" si="24"/>
      </c>
    </row>
    <row r="60" spans="1:18" s="1" customFormat="1" ht="409.5" customHeight="1" hidden="1">
      <c r="A60" s="145">
        <v>41030500</v>
      </c>
      <c r="B60" s="135" t="s">
        <v>197</v>
      </c>
      <c r="C60" s="91"/>
      <c r="D60" s="120"/>
      <c r="E60" s="120"/>
      <c r="F60" s="120"/>
      <c r="G60" s="118">
        <f t="shared" si="5"/>
        <v>0</v>
      </c>
      <c r="H60" s="158">
        <f t="shared" si="20"/>
      </c>
      <c r="I60" s="120">
        <f t="shared" si="21"/>
        <v>0</v>
      </c>
      <c r="J60" s="158">
        <f t="shared" si="22"/>
      </c>
      <c r="K60" s="250"/>
      <c r="L60" s="250"/>
      <c r="M60" s="120">
        <f>L60-K60</f>
        <v>0</v>
      </c>
      <c r="N60" s="157">
        <f t="shared" si="23"/>
      </c>
      <c r="O60" s="120">
        <f>D60+K60</f>
        <v>0</v>
      </c>
      <c r="P60" s="120">
        <f>L60+F60</f>
        <v>0</v>
      </c>
      <c r="Q60" s="120">
        <f t="shared" si="25"/>
        <v>0</v>
      </c>
      <c r="R60" s="158">
        <f t="shared" si="24"/>
      </c>
    </row>
    <row r="61" spans="1:18" s="228" customFormat="1" ht="82.5" customHeight="1">
      <c r="A61" s="236">
        <v>41030600</v>
      </c>
      <c r="B61" s="135" t="s">
        <v>215</v>
      </c>
      <c r="C61" s="95"/>
      <c r="D61" s="120">
        <v>3854.7</v>
      </c>
      <c r="E61" s="120">
        <v>1285.2</v>
      </c>
      <c r="F61" s="120">
        <v>1285.2</v>
      </c>
      <c r="G61" s="118">
        <f>F61-E61</f>
        <v>0</v>
      </c>
      <c r="H61" s="237">
        <f>_xlfn.IFERROR(F61/E61,"")</f>
        <v>1</v>
      </c>
      <c r="I61" s="120">
        <f>F61-D61</f>
        <v>-2569.5</v>
      </c>
      <c r="J61" s="237">
        <f>_xlfn.IFERROR(F61/D61,"")</f>
        <v>0.3334111604015877</v>
      </c>
      <c r="K61" s="250"/>
      <c r="L61" s="250"/>
      <c r="M61" s="120"/>
      <c r="N61" s="238"/>
      <c r="O61" s="120">
        <f>D61+K61</f>
        <v>3854.7</v>
      </c>
      <c r="P61" s="120">
        <f>L61+F61</f>
        <v>1285.2</v>
      </c>
      <c r="Q61" s="120">
        <f t="shared" si="25"/>
        <v>-2569.5</v>
      </c>
      <c r="R61" s="237">
        <f t="shared" si="24"/>
        <v>0.3334111604015877</v>
      </c>
    </row>
    <row r="62" spans="1:18" s="228" customFormat="1" ht="82.5" customHeight="1">
      <c r="A62" s="236" t="s">
        <v>234</v>
      </c>
      <c r="B62" s="135" t="s">
        <v>235</v>
      </c>
      <c r="C62" s="95"/>
      <c r="D62" s="120">
        <v>0</v>
      </c>
      <c r="E62" s="120">
        <v>0</v>
      </c>
      <c r="F62" s="120">
        <v>78.4</v>
      </c>
      <c r="G62" s="120">
        <f>F62-E62</f>
        <v>78.4</v>
      </c>
      <c r="H62" s="237">
        <f>_xlfn.IFERROR(F62/E62,"")</f>
      </c>
      <c r="I62" s="120">
        <f>F62-D62</f>
        <v>78.4</v>
      </c>
      <c r="J62" s="237">
        <f>_xlfn.IFERROR(F62/D62,"")</f>
      </c>
      <c r="K62" s="250"/>
      <c r="L62" s="250"/>
      <c r="M62" s="120"/>
      <c r="N62" s="238"/>
      <c r="O62" s="120">
        <f>D62+K62</f>
        <v>0</v>
      </c>
      <c r="P62" s="120">
        <f>L62+F62</f>
        <v>78.4</v>
      </c>
      <c r="Q62" s="120">
        <f>P62-O62</f>
        <v>78.4</v>
      </c>
      <c r="R62" s="237">
        <f>_xlfn.IFERROR(P62/O62,"")</f>
      </c>
    </row>
    <row r="63" spans="1:18" s="228" customFormat="1" ht="61.5" customHeight="1">
      <c r="A63" s="236">
        <v>41033000</v>
      </c>
      <c r="B63" s="135" t="s">
        <v>195</v>
      </c>
      <c r="C63" s="95"/>
      <c r="D63" s="120">
        <v>44201.6</v>
      </c>
      <c r="E63" s="120">
        <v>17726.8</v>
      </c>
      <c r="F63" s="120">
        <v>17726.8</v>
      </c>
      <c r="G63" s="118">
        <f t="shared" si="5"/>
        <v>0</v>
      </c>
      <c r="H63" s="237">
        <f aca="true" t="shared" si="26" ref="H63:H77">_xlfn.IFERROR(F63/E63,"")</f>
        <v>1</v>
      </c>
      <c r="I63" s="120">
        <f aca="true" t="shared" si="27" ref="I63:I77">F63-D63</f>
        <v>-26474.8</v>
      </c>
      <c r="J63" s="237">
        <f aca="true" t="shared" si="28" ref="J63:J77">_xlfn.IFERROR(F63/D63,"")</f>
        <v>0.40104430608846736</v>
      </c>
      <c r="K63" s="250"/>
      <c r="L63" s="250"/>
      <c r="M63" s="120">
        <f aca="true" t="shared" si="29" ref="M63:M77">L63-K63</f>
        <v>0</v>
      </c>
      <c r="N63" s="237">
        <f aca="true" t="shared" si="30" ref="N63:N77">_xlfn.IFERROR(L63/K63,"")</f>
      </c>
      <c r="O63" s="120">
        <f aca="true" t="shared" si="31" ref="O63:O77">D63+K63</f>
        <v>44201.6</v>
      </c>
      <c r="P63" s="120">
        <f aca="true" t="shared" si="32" ref="P63:P77">L63+F63</f>
        <v>17726.8</v>
      </c>
      <c r="Q63" s="120">
        <f aca="true" t="shared" si="33" ref="Q63:Q77">P63-O63</f>
        <v>-26474.8</v>
      </c>
      <c r="R63" s="237">
        <f aca="true" t="shared" si="34" ref="R63:R77">_xlfn.IFERROR(P63/O63,"")</f>
        <v>0.40104430608846736</v>
      </c>
    </row>
    <row r="64" spans="1:18" s="228" customFormat="1" ht="44.25" customHeight="1">
      <c r="A64" s="236" t="s">
        <v>180</v>
      </c>
      <c r="B64" s="135" t="s">
        <v>184</v>
      </c>
      <c r="C64" s="95"/>
      <c r="D64" s="120">
        <v>2525313.2</v>
      </c>
      <c r="E64" s="120">
        <v>789539</v>
      </c>
      <c r="F64" s="120">
        <v>789539</v>
      </c>
      <c r="G64" s="118">
        <f t="shared" si="5"/>
        <v>0</v>
      </c>
      <c r="H64" s="237">
        <f t="shared" si="26"/>
        <v>1</v>
      </c>
      <c r="I64" s="120">
        <f t="shared" si="27"/>
        <v>-1735774.2000000002</v>
      </c>
      <c r="J64" s="237">
        <f t="shared" si="28"/>
        <v>0.3126499318975563</v>
      </c>
      <c r="K64" s="250"/>
      <c r="L64" s="250"/>
      <c r="M64" s="120">
        <f t="shared" si="29"/>
        <v>0</v>
      </c>
      <c r="N64" s="238">
        <f t="shared" si="30"/>
      </c>
      <c r="O64" s="120">
        <f t="shared" si="31"/>
        <v>2525313.2</v>
      </c>
      <c r="P64" s="120">
        <f t="shared" si="32"/>
        <v>789539</v>
      </c>
      <c r="Q64" s="120">
        <f t="shared" si="33"/>
        <v>-1735774.2000000002</v>
      </c>
      <c r="R64" s="237">
        <f t="shared" si="34"/>
        <v>0.3126499318975563</v>
      </c>
    </row>
    <row r="65" spans="1:18" s="228" customFormat="1" ht="146.25" customHeight="1" hidden="1">
      <c r="A65" s="236" t="s">
        <v>181</v>
      </c>
      <c r="B65" s="135" t="s">
        <v>186</v>
      </c>
      <c r="C65" s="95"/>
      <c r="D65" s="120">
        <v>0</v>
      </c>
      <c r="E65" s="120">
        <v>0</v>
      </c>
      <c r="F65" s="120">
        <v>0</v>
      </c>
      <c r="G65" s="118">
        <f t="shared" si="5"/>
        <v>0</v>
      </c>
      <c r="H65" s="237">
        <f t="shared" si="26"/>
      </c>
      <c r="I65" s="120">
        <f t="shared" si="27"/>
        <v>0</v>
      </c>
      <c r="J65" s="237">
        <f t="shared" si="28"/>
      </c>
      <c r="K65" s="250"/>
      <c r="L65" s="250"/>
      <c r="M65" s="120">
        <f t="shared" si="29"/>
        <v>0</v>
      </c>
      <c r="N65" s="238">
        <f t="shared" si="30"/>
      </c>
      <c r="O65" s="120">
        <f t="shared" si="31"/>
        <v>0</v>
      </c>
      <c r="P65" s="120">
        <f t="shared" si="32"/>
        <v>0</v>
      </c>
      <c r="Q65" s="120">
        <f t="shared" si="33"/>
        <v>0</v>
      </c>
      <c r="R65" s="237">
        <f t="shared" si="34"/>
      </c>
    </row>
    <row r="66" spans="1:18" s="228" customFormat="1" ht="77.25" customHeight="1" hidden="1">
      <c r="A66" s="236">
        <v>41034500</v>
      </c>
      <c r="B66" s="135" t="s">
        <v>202</v>
      </c>
      <c r="C66" s="95"/>
      <c r="D66" s="120">
        <v>0</v>
      </c>
      <c r="E66" s="120">
        <v>0</v>
      </c>
      <c r="F66" s="120">
        <v>0</v>
      </c>
      <c r="G66" s="118">
        <f t="shared" si="5"/>
        <v>0</v>
      </c>
      <c r="H66" s="237">
        <f t="shared" si="26"/>
      </c>
      <c r="I66" s="120">
        <f t="shared" si="27"/>
        <v>0</v>
      </c>
      <c r="J66" s="237">
        <f t="shared" si="28"/>
      </c>
      <c r="K66" s="250"/>
      <c r="L66" s="250"/>
      <c r="M66" s="120">
        <f t="shared" si="29"/>
        <v>0</v>
      </c>
      <c r="N66" s="237">
        <f t="shared" si="30"/>
      </c>
      <c r="O66" s="120">
        <f t="shared" si="31"/>
        <v>0</v>
      </c>
      <c r="P66" s="120">
        <f t="shared" si="32"/>
        <v>0</v>
      </c>
      <c r="Q66" s="120">
        <f t="shared" si="33"/>
        <v>0</v>
      </c>
      <c r="R66" s="237">
        <f t="shared" si="34"/>
      </c>
    </row>
    <row r="67" spans="1:18" s="228" customFormat="1" ht="77.25" customHeight="1" hidden="1">
      <c r="A67" s="236">
        <v>41035200</v>
      </c>
      <c r="B67" s="135" t="s">
        <v>204</v>
      </c>
      <c r="C67" s="95"/>
      <c r="D67" s="120">
        <v>0</v>
      </c>
      <c r="E67" s="120">
        <v>0</v>
      </c>
      <c r="F67" s="120">
        <v>0</v>
      </c>
      <c r="G67" s="118">
        <f t="shared" si="5"/>
        <v>0</v>
      </c>
      <c r="H67" s="237">
        <f t="shared" si="26"/>
      </c>
      <c r="I67" s="120">
        <f t="shared" si="27"/>
        <v>0</v>
      </c>
      <c r="J67" s="237">
        <f t="shared" si="28"/>
      </c>
      <c r="K67" s="250"/>
      <c r="L67" s="250"/>
      <c r="M67" s="120">
        <f t="shared" si="29"/>
        <v>0</v>
      </c>
      <c r="N67" s="238">
        <f t="shared" si="30"/>
      </c>
      <c r="O67" s="120">
        <f t="shared" si="31"/>
        <v>0</v>
      </c>
      <c r="P67" s="120">
        <f t="shared" si="32"/>
        <v>0</v>
      </c>
      <c r="Q67" s="120">
        <f t="shared" si="33"/>
        <v>0</v>
      </c>
      <c r="R67" s="237">
        <f t="shared" si="34"/>
      </c>
    </row>
    <row r="68" spans="1:18" s="228" customFormat="1" ht="81" hidden="1">
      <c r="A68" s="236">
        <v>41035300</v>
      </c>
      <c r="B68" s="135" t="s">
        <v>212</v>
      </c>
      <c r="C68" s="95"/>
      <c r="D68" s="120">
        <v>0</v>
      </c>
      <c r="E68" s="120">
        <v>0</v>
      </c>
      <c r="F68" s="120">
        <v>0</v>
      </c>
      <c r="G68" s="118">
        <f t="shared" si="5"/>
        <v>0</v>
      </c>
      <c r="H68" s="237">
        <f t="shared" si="26"/>
      </c>
      <c r="I68" s="120">
        <f t="shared" si="27"/>
        <v>0</v>
      </c>
      <c r="J68" s="237">
        <f t="shared" si="28"/>
      </c>
      <c r="K68" s="250"/>
      <c r="L68" s="250"/>
      <c r="M68" s="120">
        <f t="shared" si="29"/>
        <v>0</v>
      </c>
      <c r="N68" s="238">
        <f t="shared" si="30"/>
      </c>
      <c r="O68" s="120">
        <f t="shared" si="31"/>
        <v>0</v>
      </c>
      <c r="P68" s="120">
        <f t="shared" si="32"/>
        <v>0</v>
      </c>
      <c r="Q68" s="120">
        <f t="shared" si="33"/>
        <v>0</v>
      </c>
      <c r="R68" s="237">
        <f t="shared" si="34"/>
      </c>
    </row>
    <row r="69" spans="1:18" s="228" customFormat="1" ht="72" customHeight="1">
      <c r="A69" s="236" t="s">
        <v>182</v>
      </c>
      <c r="B69" s="135" t="s">
        <v>187</v>
      </c>
      <c r="C69" s="95"/>
      <c r="D69" s="120">
        <v>10099.7</v>
      </c>
      <c r="E69" s="120">
        <v>3366.4</v>
      </c>
      <c r="F69" s="120">
        <v>3366.4</v>
      </c>
      <c r="G69" s="118">
        <f t="shared" si="5"/>
        <v>0</v>
      </c>
      <c r="H69" s="237">
        <f t="shared" si="26"/>
        <v>1</v>
      </c>
      <c r="I69" s="120">
        <f t="shared" si="27"/>
        <v>-6733.300000000001</v>
      </c>
      <c r="J69" s="237">
        <f t="shared" si="28"/>
        <v>0.3333168311930057</v>
      </c>
      <c r="K69" s="250"/>
      <c r="L69" s="250"/>
      <c r="M69" s="120">
        <f t="shared" si="29"/>
        <v>0</v>
      </c>
      <c r="N69" s="238">
        <f t="shared" si="30"/>
      </c>
      <c r="O69" s="120">
        <f t="shared" si="31"/>
        <v>10099.7</v>
      </c>
      <c r="P69" s="120">
        <f t="shared" si="32"/>
        <v>3366.4</v>
      </c>
      <c r="Q69" s="120">
        <f t="shared" si="33"/>
        <v>-6733.300000000001</v>
      </c>
      <c r="R69" s="237">
        <f t="shared" si="34"/>
        <v>0.3333168311930057</v>
      </c>
    </row>
    <row r="70" spans="1:18" s="228" customFormat="1" ht="81" customHeight="1" hidden="1">
      <c r="A70" s="236">
        <v>41035500</v>
      </c>
      <c r="B70" s="135" t="s">
        <v>205</v>
      </c>
      <c r="C70" s="95"/>
      <c r="D70" s="120">
        <v>0</v>
      </c>
      <c r="E70" s="120">
        <v>0</v>
      </c>
      <c r="F70" s="120" t="s">
        <v>221</v>
      </c>
      <c r="G70" s="118" t="e">
        <f t="shared" si="5"/>
        <v>#VALUE!</v>
      </c>
      <c r="H70" s="237">
        <f t="shared" si="26"/>
      </c>
      <c r="I70" s="120" t="e">
        <f t="shared" si="27"/>
        <v>#VALUE!</v>
      </c>
      <c r="J70" s="237">
        <f t="shared" si="28"/>
      </c>
      <c r="K70" s="250"/>
      <c r="L70" s="250"/>
      <c r="M70" s="120">
        <f t="shared" si="29"/>
        <v>0</v>
      </c>
      <c r="N70" s="238">
        <f t="shared" si="30"/>
      </c>
      <c r="O70" s="120">
        <f t="shared" si="31"/>
        <v>0</v>
      </c>
      <c r="P70" s="120" t="e">
        <f t="shared" si="32"/>
        <v>#VALUE!</v>
      </c>
      <c r="Q70" s="120" t="e">
        <f t="shared" si="33"/>
        <v>#VALUE!</v>
      </c>
      <c r="R70" s="237">
        <f t="shared" si="34"/>
      </c>
    </row>
    <row r="71" spans="1:18" s="228" customFormat="1" ht="105.75" customHeight="1">
      <c r="A71" s="236">
        <v>41035600</v>
      </c>
      <c r="B71" s="135" t="s">
        <v>206</v>
      </c>
      <c r="C71" s="95"/>
      <c r="D71" s="120">
        <v>7221.8</v>
      </c>
      <c r="E71" s="120">
        <v>902.5</v>
      </c>
      <c r="F71" s="120">
        <v>0</v>
      </c>
      <c r="G71" s="120">
        <f t="shared" si="5"/>
        <v>-902.5</v>
      </c>
      <c r="H71" s="237">
        <f t="shared" si="26"/>
        <v>0</v>
      </c>
      <c r="I71" s="120">
        <f t="shared" si="27"/>
        <v>-7221.8</v>
      </c>
      <c r="J71" s="237">
        <f t="shared" si="28"/>
        <v>0</v>
      </c>
      <c r="K71" s="250"/>
      <c r="L71" s="250"/>
      <c r="M71" s="120">
        <f t="shared" si="29"/>
        <v>0</v>
      </c>
      <c r="N71" s="238">
        <f t="shared" si="30"/>
      </c>
      <c r="O71" s="120">
        <f t="shared" si="31"/>
        <v>7221.8</v>
      </c>
      <c r="P71" s="120">
        <f t="shared" si="32"/>
        <v>0</v>
      </c>
      <c r="Q71" s="120">
        <f t="shared" si="33"/>
        <v>-7221.8</v>
      </c>
      <c r="R71" s="237">
        <f t="shared" si="34"/>
        <v>0</v>
      </c>
    </row>
    <row r="72" spans="1:18" s="228" customFormat="1" ht="129.75" customHeight="1" hidden="1">
      <c r="A72" s="236">
        <v>41035900</v>
      </c>
      <c r="B72" s="135" t="s">
        <v>203</v>
      </c>
      <c r="C72" s="95"/>
      <c r="D72" s="120">
        <v>0</v>
      </c>
      <c r="E72" s="120">
        <v>0</v>
      </c>
      <c r="F72" s="120">
        <v>0</v>
      </c>
      <c r="G72" s="118">
        <f t="shared" si="5"/>
        <v>0</v>
      </c>
      <c r="H72" s="237">
        <f t="shared" si="26"/>
      </c>
      <c r="I72" s="120">
        <f t="shared" si="27"/>
        <v>0</v>
      </c>
      <c r="J72" s="237">
        <f t="shared" si="28"/>
      </c>
      <c r="K72" s="250"/>
      <c r="L72" s="250"/>
      <c r="M72" s="120">
        <f t="shared" si="29"/>
        <v>0</v>
      </c>
      <c r="N72" s="238">
        <f t="shared" si="30"/>
      </c>
      <c r="O72" s="120">
        <f t="shared" si="31"/>
        <v>0</v>
      </c>
      <c r="P72" s="120">
        <f t="shared" si="32"/>
        <v>0</v>
      </c>
      <c r="Q72" s="120">
        <f t="shared" si="33"/>
        <v>0</v>
      </c>
      <c r="R72" s="237">
        <f t="shared" si="34"/>
      </c>
    </row>
    <row r="73" spans="1:18" s="228" customFormat="1" ht="384" customHeight="1" hidden="1">
      <c r="A73" s="236">
        <v>41036100</v>
      </c>
      <c r="B73" s="135" t="s">
        <v>207</v>
      </c>
      <c r="C73" s="95"/>
      <c r="D73" s="120">
        <v>0</v>
      </c>
      <c r="E73" s="120">
        <v>0</v>
      </c>
      <c r="F73" s="120">
        <v>0</v>
      </c>
      <c r="G73" s="118">
        <f t="shared" si="5"/>
        <v>0</v>
      </c>
      <c r="H73" s="237">
        <f t="shared" si="26"/>
      </c>
      <c r="I73" s="120">
        <f t="shared" si="27"/>
        <v>0</v>
      </c>
      <c r="J73" s="237">
        <f t="shared" si="28"/>
      </c>
      <c r="K73" s="250"/>
      <c r="L73" s="250"/>
      <c r="M73" s="120">
        <f t="shared" si="29"/>
        <v>0</v>
      </c>
      <c r="N73" s="238">
        <f t="shared" si="30"/>
      </c>
      <c r="O73" s="120">
        <f t="shared" si="31"/>
        <v>0</v>
      </c>
      <c r="P73" s="120">
        <f t="shared" si="32"/>
        <v>0</v>
      </c>
      <c r="Q73" s="120">
        <f t="shared" si="33"/>
        <v>0</v>
      </c>
      <c r="R73" s="237">
        <f t="shared" si="34"/>
      </c>
    </row>
    <row r="74" spans="1:18" s="228" customFormat="1" ht="317.25" customHeight="1" hidden="1">
      <c r="A74" s="236">
        <v>41036400</v>
      </c>
      <c r="B74" s="135" t="s">
        <v>208</v>
      </c>
      <c r="C74" s="95"/>
      <c r="D74" s="120">
        <v>0</v>
      </c>
      <c r="E74" s="120">
        <v>0</v>
      </c>
      <c r="F74" s="120">
        <v>0</v>
      </c>
      <c r="G74" s="118">
        <f t="shared" si="5"/>
        <v>0</v>
      </c>
      <c r="H74" s="237">
        <f t="shared" si="26"/>
      </c>
      <c r="I74" s="120">
        <f t="shared" si="27"/>
        <v>0</v>
      </c>
      <c r="J74" s="237">
        <f t="shared" si="28"/>
      </c>
      <c r="K74" s="250"/>
      <c r="L74" s="250"/>
      <c r="M74" s="120">
        <f t="shared" si="29"/>
        <v>0</v>
      </c>
      <c r="N74" s="238">
        <f t="shared" si="30"/>
      </c>
      <c r="O74" s="120">
        <f t="shared" si="31"/>
        <v>0</v>
      </c>
      <c r="P74" s="120">
        <f t="shared" si="32"/>
        <v>0</v>
      </c>
      <c r="Q74" s="120">
        <f t="shared" si="33"/>
        <v>0</v>
      </c>
      <c r="R74" s="237">
        <f t="shared" si="34"/>
      </c>
    </row>
    <row r="75" spans="1:18" s="228" customFormat="1" ht="91.5" customHeight="1" hidden="1">
      <c r="A75" s="236">
        <v>41037000</v>
      </c>
      <c r="B75" s="135" t="s">
        <v>213</v>
      </c>
      <c r="C75" s="95"/>
      <c r="D75" s="120">
        <v>0</v>
      </c>
      <c r="E75" s="120">
        <v>0</v>
      </c>
      <c r="F75" s="120">
        <v>0</v>
      </c>
      <c r="G75" s="118">
        <f t="shared" si="5"/>
        <v>0</v>
      </c>
      <c r="H75" s="237">
        <f t="shared" si="26"/>
      </c>
      <c r="I75" s="120">
        <f t="shared" si="27"/>
        <v>0</v>
      </c>
      <c r="J75" s="237">
        <f t="shared" si="28"/>
      </c>
      <c r="K75" s="250"/>
      <c r="L75" s="250"/>
      <c r="M75" s="120">
        <f t="shared" si="29"/>
        <v>0</v>
      </c>
      <c r="N75" s="238">
        <f t="shared" si="30"/>
      </c>
      <c r="O75" s="120">
        <f t="shared" si="31"/>
        <v>0</v>
      </c>
      <c r="P75" s="120">
        <f t="shared" si="32"/>
        <v>0</v>
      </c>
      <c r="Q75" s="120">
        <f t="shared" si="33"/>
        <v>0</v>
      </c>
      <c r="R75" s="237">
        <f t="shared" si="34"/>
      </c>
    </row>
    <row r="76" spans="1:18" s="228" customFormat="1" ht="118.5" customHeight="1" hidden="1">
      <c r="A76" s="236">
        <v>41037200</v>
      </c>
      <c r="B76" s="135" t="s">
        <v>209</v>
      </c>
      <c r="C76" s="95"/>
      <c r="D76" s="120">
        <v>0</v>
      </c>
      <c r="E76" s="120">
        <v>0</v>
      </c>
      <c r="F76" s="120">
        <v>0</v>
      </c>
      <c r="G76" s="118">
        <f t="shared" si="5"/>
        <v>0</v>
      </c>
      <c r="H76" s="237">
        <f t="shared" si="26"/>
      </c>
      <c r="I76" s="120">
        <f t="shared" si="27"/>
        <v>0</v>
      </c>
      <c r="J76" s="237">
        <f t="shared" si="28"/>
      </c>
      <c r="K76" s="250"/>
      <c r="L76" s="250"/>
      <c r="M76" s="120">
        <f t="shared" si="29"/>
        <v>0</v>
      </c>
      <c r="N76" s="238">
        <f t="shared" si="30"/>
      </c>
      <c r="O76" s="120">
        <f t="shared" si="31"/>
        <v>0</v>
      </c>
      <c r="P76" s="120">
        <f t="shared" si="32"/>
        <v>0</v>
      </c>
      <c r="Q76" s="120">
        <f t="shared" si="33"/>
        <v>0</v>
      </c>
      <c r="R76" s="237">
        <f t="shared" si="34"/>
      </c>
    </row>
    <row r="77" spans="1:18" s="228" customFormat="1" ht="133.5" customHeight="1">
      <c r="A77" s="236" t="s">
        <v>183</v>
      </c>
      <c r="B77" s="135" t="s">
        <v>185</v>
      </c>
      <c r="C77" s="90"/>
      <c r="D77" s="120">
        <v>0</v>
      </c>
      <c r="E77" s="120">
        <v>0</v>
      </c>
      <c r="F77" s="120">
        <v>0</v>
      </c>
      <c r="G77" s="118">
        <f t="shared" si="5"/>
        <v>0</v>
      </c>
      <c r="H77" s="237">
        <f t="shared" si="26"/>
      </c>
      <c r="I77" s="120">
        <f t="shared" si="27"/>
        <v>0</v>
      </c>
      <c r="J77" s="237">
        <f t="shared" si="28"/>
      </c>
      <c r="K77" s="128">
        <v>247808.7</v>
      </c>
      <c r="L77" s="128">
        <v>74570.8</v>
      </c>
      <c r="M77" s="120">
        <f t="shared" si="29"/>
        <v>-173237.90000000002</v>
      </c>
      <c r="N77" s="237">
        <f t="shared" si="30"/>
        <v>0.30092083127025</v>
      </c>
      <c r="O77" s="120">
        <f t="shared" si="31"/>
        <v>247808.7</v>
      </c>
      <c r="P77" s="120">
        <f t="shared" si="32"/>
        <v>74570.8</v>
      </c>
      <c r="Q77" s="120">
        <f t="shared" si="33"/>
        <v>-173237.90000000002</v>
      </c>
      <c r="R77" s="237">
        <f t="shared" si="34"/>
        <v>0.30092083127025</v>
      </c>
    </row>
    <row r="78" spans="1:18" s="1" customFormat="1" ht="103.5" customHeight="1" hidden="1">
      <c r="A78" s="145">
        <v>41039100</v>
      </c>
      <c r="B78" s="162" t="s">
        <v>214</v>
      </c>
      <c r="C78" s="90"/>
      <c r="D78" s="128"/>
      <c r="E78" s="128"/>
      <c r="F78" s="128"/>
      <c r="G78" s="120">
        <f>F78-E78</f>
        <v>0</v>
      </c>
      <c r="H78" s="158">
        <f>_xlfn.IFERROR(F78/E78,"")</f>
      </c>
      <c r="I78" s="120">
        <f>F78-D78</f>
        <v>0</v>
      </c>
      <c r="J78" s="158">
        <f>_xlfn.IFERROR(F78/D78,"")</f>
      </c>
      <c r="K78" s="130"/>
      <c r="L78" s="128"/>
      <c r="M78" s="120">
        <f>L78-K78</f>
        <v>0</v>
      </c>
      <c r="N78" s="158">
        <f>_xlfn.IFERROR(L78/K78,"")</f>
      </c>
      <c r="O78" s="120">
        <f>D78+K78</f>
        <v>0</v>
      </c>
      <c r="P78" s="120">
        <f>L78+F78</f>
        <v>0</v>
      </c>
      <c r="Q78" s="120">
        <f>P78-O78</f>
        <v>0</v>
      </c>
      <c r="R78" s="158">
        <f>_xlfn.IFERROR(P78/O78,"")</f>
      </c>
    </row>
    <row r="79" spans="1:33" ht="20.25">
      <c r="A79" s="76">
        <v>900102</v>
      </c>
      <c r="B79" s="103" t="s">
        <v>23</v>
      </c>
      <c r="C79" s="103"/>
      <c r="D79" s="132">
        <f>D51+D52</f>
        <v>10025868.04643</v>
      </c>
      <c r="E79" s="132">
        <f>E51+E52</f>
        <v>3261601.13743</v>
      </c>
      <c r="F79" s="132">
        <f>F52+F51</f>
        <v>3453129.2676700004</v>
      </c>
      <c r="G79" s="132">
        <f t="shared" si="5"/>
        <v>191528.13024000032</v>
      </c>
      <c r="H79" s="139">
        <f aca="true" t="shared" si="35" ref="H79:H87">_xlfn.IFERROR(F79/E79,"")</f>
        <v>1.0587221190359641</v>
      </c>
      <c r="I79" s="132">
        <f aca="true" t="shared" si="36" ref="I79:I86">F79-D79</f>
        <v>-6572738.778759999</v>
      </c>
      <c r="J79" s="139">
        <f>_xlfn.IFERROR(F79/D79,"")</f>
        <v>0.3444219744044594</v>
      </c>
      <c r="K79" s="132">
        <f>K52+K51</f>
        <v>1110486.3987800002</v>
      </c>
      <c r="L79" s="132">
        <f>L52+L51</f>
        <v>392500.23758</v>
      </c>
      <c r="M79" s="132">
        <f>L79-K79</f>
        <v>-717986.1612000002</v>
      </c>
      <c r="N79" s="139">
        <f>_xlfn.IFERROR(L79/K79,"")</f>
        <v>0.3534489373406173</v>
      </c>
      <c r="O79" s="132">
        <f>O52+O51</f>
        <v>11136354.445209999</v>
      </c>
      <c r="P79" s="132">
        <f>P52+P51</f>
        <v>3845629.5052500004</v>
      </c>
      <c r="Q79" s="132">
        <f aca="true" t="shared" si="37" ref="Q79:Q86">P79-O79</f>
        <v>-7290724.939959998</v>
      </c>
      <c r="R79" s="139">
        <f>_xlfn.IFERROR(P79/O79,"")</f>
        <v>0.3453221181285312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</row>
    <row r="80" spans="1:18" s="1" customFormat="1" ht="47.25" hidden="1">
      <c r="A80" s="13" t="s">
        <v>76</v>
      </c>
      <c r="B80" s="17" t="s">
        <v>73</v>
      </c>
      <c r="C80" s="44"/>
      <c r="D80" s="82"/>
      <c r="E80" s="178"/>
      <c r="F80" s="178"/>
      <c r="G80" s="178"/>
      <c r="H80" s="177">
        <f t="shared" si="35"/>
      </c>
      <c r="I80" s="178">
        <f t="shared" si="36"/>
        <v>0</v>
      </c>
      <c r="J80" s="178" t="e">
        <f aca="true" t="shared" si="38" ref="J80:J86">F80/D80*100</f>
        <v>#DIV/0!</v>
      </c>
      <c r="K80" s="179">
        <v>0</v>
      </c>
      <c r="L80" s="179">
        <v>0</v>
      </c>
      <c r="M80" s="83"/>
      <c r="N80" s="83"/>
      <c r="O80" s="84">
        <f aca="true" t="shared" si="39" ref="O80:O87">D80+K80</f>
        <v>0</v>
      </c>
      <c r="P80" s="84">
        <f aca="true" t="shared" si="40" ref="P80:P86">L80+F80</f>
        <v>0</v>
      </c>
      <c r="Q80" s="84">
        <f t="shared" si="37"/>
        <v>0</v>
      </c>
      <c r="R80" s="84" t="e">
        <f aca="true" t="shared" si="41" ref="R80:R87">P80/O80*100</f>
        <v>#DIV/0!</v>
      </c>
    </row>
    <row r="81" spans="1:18" s="1" customFormat="1" ht="31.5" hidden="1">
      <c r="A81" s="13" t="s">
        <v>77</v>
      </c>
      <c r="B81" s="17" t="s">
        <v>74</v>
      </c>
      <c r="C81" s="44"/>
      <c r="D81" s="82"/>
      <c r="E81" s="178"/>
      <c r="F81" s="178"/>
      <c r="G81" s="178"/>
      <c r="H81" s="177">
        <f t="shared" si="35"/>
      </c>
      <c r="I81" s="178">
        <f t="shared" si="36"/>
        <v>0</v>
      </c>
      <c r="J81" s="178" t="e">
        <f t="shared" si="38"/>
        <v>#DIV/0!</v>
      </c>
      <c r="K81" s="179">
        <v>0</v>
      </c>
      <c r="L81" s="179">
        <v>0</v>
      </c>
      <c r="M81" s="83"/>
      <c r="N81" s="83"/>
      <c r="O81" s="84">
        <f t="shared" si="39"/>
        <v>0</v>
      </c>
      <c r="P81" s="84">
        <f t="shared" si="40"/>
        <v>0</v>
      </c>
      <c r="Q81" s="84">
        <f t="shared" si="37"/>
        <v>0</v>
      </c>
      <c r="R81" s="84" t="e">
        <f t="shared" si="41"/>
        <v>#DIV/0!</v>
      </c>
    </row>
    <row r="82" spans="1:18" s="1" customFormat="1" ht="47.25" hidden="1">
      <c r="A82" s="13" t="s">
        <v>71</v>
      </c>
      <c r="B82" s="17" t="s">
        <v>78</v>
      </c>
      <c r="C82" s="44"/>
      <c r="D82" s="82"/>
      <c r="E82" s="178"/>
      <c r="F82" s="178"/>
      <c r="G82" s="178"/>
      <c r="H82" s="177">
        <f t="shared" si="35"/>
      </c>
      <c r="I82" s="178">
        <f t="shared" si="36"/>
        <v>0</v>
      </c>
      <c r="J82" s="178" t="e">
        <f t="shared" si="38"/>
        <v>#DIV/0!</v>
      </c>
      <c r="K82" s="180"/>
      <c r="L82" s="180">
        <v>0</v>
      </c>
      <c r="M82" s="82">
        <f>L82-K82</f>
        <v>0</v>
      </c>
      <c r="N82" s="83" t="e">
        <f>L82/K82*100</f>
        <v>#DIV/0!</v>
      </c>
      <c r="O82" s="84">
        <f t="shared" si="39"/>
        <v>0</v>
      </c>
      <c r="P82" s="84">
        <f t="shared" si="40"/>
        <v>0</v>
      </c>
      <c r="Q82" s="84">
        <f t="shared" si="37"/>
        <v>0</v>
      </c>
      <c r="R82" s="84" t="e">
        <f t="shared" si="41"/>
        <v>#DIV/0!</v>
      </c>
    </row>
    <row r="83" spans="1:18" s="1" customFormat="1" ht="20.25" hidden="1">
      <c r="A83" s="13">
        <v>41050000</v>
      </c>
      <c r="B83" s="17" t="s">
        <v>236</v>
      </c>
      <c r="C83" s="44"/>
      <c r="D83" s="120">
        <v>102739.36371</v>
      </c>
      <c r="E83" s="120">
        <v>45484.33471</v>
      </c>
      <c r="F83" s="120">
        <v>40463.47675</v>
      </c>
      <c r="G83" s="120">
        <f>F83-E83</f>
        <v>-5020.857960000001</v>
      </c>
      <c r="H83" s="237">
        <f t="shared" si="35"/>
        <v>0.8896134681970815</v>
      </c>
      <c r="I83" s="120">
        <f t="shared" si="36"/>
        <v>-62275.88696</v>
      </c>
      <c r="J83" s="237">
        <f>_xlfn.IFERROR(F83/D83,"")</f>
        <v>0.3938458959529408</v>
      </c>
      <c r="K83" s="120">
        <v>6965.0738</v>
      </c>
      <c r="L83" s="120">
        <v>6965.0738</v>
      </c>
      <c r="M83" s="120">
        <f>SUM(M84:M102)</f>
        <v>-717986.1612</v>
      </c>
      <c r="N83" s="237">
        <f>_xlfn.IFERROR(L83/K83,"")</f>
        <v>1</v>
      </c>
      <c r="O83" s="120">
        <f t="shared" si="39"/>
        <v>109704.43751</v>
      </c>
      <c r="P83" s="120">
        <f t="shared" si="40"/>
        <v>47428.55055</v>
      </c>
      <c r="Q83" s="120">
        <f t="shared" si="37"/>
        <v>-62275.88696</v>
      </c>
      <c r="R83" s="237">
        <f>_xlfn.IFERROR(P83/O83,"")</f>
        <v>0.4323302833185458</v>
      </c>
    </row>
    <row r="84" spans="1:18" s="1" customFormat="1" ht="20.25" hidden="1">
      <c r="A84" s="270" t="s">
        <v>72</v>
      </c>
      <c r="B84" s="271" t="s">
        <v>75</v>
      </c>
      <c r="C84" s="272"/>
      <c r="D84" s="82"/>
      <c r="E84" s="178"/>
      <c r="F84" s="178"/>
      <c r="G84" s="178"/>
      <c r="H84" s="177">
        <f t="shared" si="35"/>
      </c>
      <c r="I84" s="178">
        <f t="shared" si="36"/>
        <v>0</v>
      </c>
      <c r="J84" s="178" t="e">
        <f t="shared" si="38"/>
        <v>#DIV/0!</v>
      </c>
      <c r="K84" s="180"/>
      <c r="L84" s="180"/>
      <c r="M84" s="82">
        <f>L84-K84</f>
        <v>0</v>
      </c>
      <c r="N84" s="82" t="e">
        <f>L84/K84*100</f>
        <v>#DIV/0!</v>
      </c>
      <c r="O84" s="84">
        <f t="shared" si="39"/>
        <v>0</v>
      </c>
      <c r="P84" s="84">
        <f t="shared" si="40"/>
        <v>0</v>
      </c>
      <c r="Q84" s="84">
        <f t="shared" si="37"/>
        <v>0</v>
      </c>
      <c r="R84" s="84" t="e">
        <f t="shared" si="41"/>
        <v>#DIV/0!</v>
      </c>
    </row>
    <row r="85" spans="1:33" ht="31.5" hidden="1">
      <c r="A85" s="4">
        <v>43000000</v>
      </c>
      <c r="B85" s="6" t="s">
        <v>58</v>
      </c>
      <c r="C85" s="7">
        <f>C86</f>
        <v>0</v>
      </c>
      <c r="D85" s="85"/>
      <c r="E85" s="181"/>
      <c r="F85" s="181">
        <f>F86</f>
        <v>0</v>
      </c>
      <c r="G85" s="181"/>
      <c r="H85" s="177">
        <f t="shared" si="35"/>
      </c>
      <c r="I85" s="181">
        <f t="shared" si="36"/>
        <v>0</v>
      </c>
      <c r="J85" s="181" t="e">
        <f t="shared" si="38"/>
        <v>#DIV/0!</v>
      </c>
      <c r="K85" s="182">
        <f>K86</f>
        <v>0</v>
      </c>
      <c r="L85" s="182">
        <f>L86</f>
        <v>0</v>
      </c>
      <c r="M85" s="85">
        <f>L85-K85</f>
        <v>0</v>
      </c>
      <c r="N85" s="85" t="e">
        <f>L85/K85*100</f>
        <v>#DIV/0!</v>
      </c>
      <c r="O85" s="86">
        <f t="shared" si="39"/>
        <v>0</v>
      </c>
      <c r="P85" s="86">
        <f t="shared" si="40"/>
        <v>0</v>
      </c>
      <c r="Q85" s="86">
        <f t="shared" si="37"/>
        <v>0</v>
      </c>
      <c r="R85" s="86" t="e">
        <f t="shared" si="41"/>
        <v>#DIV/0!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3" ht="20.25" hidden="1">
      <c r="A86" s="13">
        <v>43010000</v>
      </c>
      <c r="B86" s="17" t="s">
        <v>33</v>
      </c>
      <c r="C86" s="14"/>
      <c r="D86" s="273"/>
      <c r="E86" s="183"/>
      <c r="F86" s="183"/>
      <c r="G86" s="183"/>
      <c r="H86" s="177">
        <f t="shared" si="35"/>
      </c>
      <c r="I86" s="183">
        <f t="shared" si="36"/>
        <v>0</v>
      </c>
      <c r="J86" s="183" t="e">
        <f t="shared" si="38"/>
        <v>#DIV/0!</v>
      </c>
      <c r="K86" s="184"/>
      <c r="L86" s="184"/>
      <c r="M86" s="84">
        <f>L86-K86</f>
        <v>0</v>
      </c>
      <c r="N86" s="82" t="e">
        <f>L86/K86*100</f>
        <v>#DIV/0!</v>
      </c>
      <c r="O86" s="86">
        <f t="shared" si="39"/>
        <v>0</v>
      </c>
      <c r="P86" s="86">
        <f t="shared" si="40"/>
        <v>0</v>
      </c>
      <c r="Q86" s="86">
        <f t="shared" si="37"/>
        <v>0</v>
      </c>
      <c r="R86" s="86" t="e">
        <f t="shared" si="41"/>
        <v>#DIV/0!</v>
      </c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</row>
    <row r="87" spans="1:33" ht="20.25" hidden="1">
      <c r="A87" s="8">
        <v>900103</v>
      </c>
      <c r="B87" s="9" t="s">
        <v>79</v>
      </c>
      <c r="C87" s="10" t="e">
        <f>C51+C52</f>
        <v>#REF!</v>
      </c>
      <c r="D87" s="132">
        <f>D79+D80+D81+D82+D83+D84</f>
        <v>10128607.410139998</v>
      </c>
      <c r="E87" s="132">
        <f>E79+E80+E81+E82+E83+E84</f>
        <v>3307085.47214</v>
      </c>
      <c r="F87" s="132">
        <f>F79+F80+F81+F82+F83+F84</f>
        <v>3493592.7444200004</v>
      </c>
      <c r="G87" s="132">
        <f>G79+G80+G81+G82+G83+G84</f>
        <v>186507.27228000032</v>
      </c>
      <c r="H87" s="139">
        <f t="shared" si="35"/>
        <v>1.0563962660932715</v>
      </c>
      <c r="I87" s="132">
        <f>F87-D87</f>
        <v>-6635014.665719998</v>
      </c>
      <c r="J87" s="132">
        <f>F87/D87*100</f>
        <v>34.492330514483946</v>
      </c>
      <c r="K87" s="132">
        <f>K79+K82+K83+K84</f>
        <v>1117451.47258</v>
      </c>
      <c r="L87" s="132">
        <f>L79+L82+L83+L84</f>
        <v>399465.31138</v>
      </c>
      <c r="M87" s="132">
        <f>L87-K87</f>
        <v>-717986.1612</v>
      </c>
      <c r="N87" s="132">
        <f>L87/K87*100</f>
        <v>35.74788894033174</v>
      </c>
      <c r="O87" s="132">
        <f t="shared" si="39"/>
        <v>11246058.88272</v>
      </c>
      <c r="P87" s="132">
        <f>L87+F87</f>
        <v>3893058.0558</v>
      </c>
      <c r="Q87" s="132">
        <f>P87-O87</f>
        <v>-7353000.826919999</v>
      </c>
      <c r="R87" s="132">
        <f t="shared" si="41"/>
        <v>34.617087607302444</v>
      </c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</row>
    <row r="88" spans="2:18" ht="15.75">
      <c r="B88" s="30"/>
      <c r="C88" s="30"/>
      <c r="D88" s="246"/>
      <c r="E88" s="246"/>
      <c r="F88" s="185"/>
      <c r="G88" s="185"/>
      <c r="H88" s="185"/>
      <c r="I88" s="186"/>
      <c r="J88" s="186"/>
      <c r="K88" s="176"/>
      <c r="L88" s="176"/>
      <c r="M88" s="80"/>
      <c r="N88" s="80"/>
      <c r="O88" s="81"/>
      <c r="P88" s="81"/>
      <c r="Q88" s="81"/>
      <c r="R88" s="81"/>
    </row>
    <row r="89" spans="2:18" ht="15.75">
      <c r="B89" s="50"/>
      <c r="C89" s="32"/>
      <c r="D89" s="187"/>
      <c r="E89" s="187"/>
      <c r="F89" s="187"/>
      <c r="G89" s="187"/>
      <c r="H89" s="187"/>
      <c r="I89" s="185"/>
      <c r="J89" s="185"/>
      <c r="K89" s="188"/>
      <c r="L89" s="188"/>
      <c r="M89" s="80"/>
      <c r="N89" s="80"/>
      <c r="O89" s="81"/>
      <c r="P89" s="81"/>
      <c r="Q89" s="81"/>
      <c r="R89" s="81"/>
    </row>
    <row r="90" spans="2:12" ht="15.75">
      <c r="B90" s="31"/>
      <c r="C90" s="32"/>
      <c r="D90" s="247"/>
      <c r="E90" s="247"/>
      <c r="F90" s="189"/>
      <c r="G90" s="189"/>
      <c r="H90" s="189"/>
      <c r="I90" s="189"/>
      <c r="J90" s="189"/>
      <c r="K90" s="266"/>
      <c r="L90" s="266"/>
    </row>
    <row r="91" spans="2:12" ht="18.75">
      <c r="B91" s="79"/>
      <c r="C91" s="33"/>
      <c r="D91" s="190"/>
      <c r="E91" s="190"/>
      <c r="F91" s="185"/>
      <c r="K91" s="197"/>
      <c r="L91" s="197"/>
    </row>
    <row r="92" spans="2:12" ht="15.75">
      <c r="B92" s="24"/>
      <c r="C92" s="24"/>
      <c r="D92" s="190"/>
      <c r="E92" s="190"/>
      <c r="F92" s="190"/>
      <c r="G92" s="189"/>
      <c r="H92" s="189"/>
      <c r="K92" s="174"/>
      <c r="L92" s="174"/>
    </row>
    <row r="93" spans="2:12" ht="15.75">
      <c r="B93" s="24"/>
      <c r="C93" s="24"/>
      <c r="D93" s="190"/>
      <c r="E93" s="190"/>
      <c r="K93" s="174"/>
      <c r="L93" s="174"/>
    </row>
    <row r="94" spans="2:12" ht="15.75">
      <c r="B94" s="24"/>
      <c r="C94" s="24"/>
      <c r="D94" s="193"/>
      <c r="E94" s="193"/>
      <c r="K94" s="174"/>
      <c r="L94" s="174"/>
    </row>
    <row r="95" spans="2:5" ht="15.75">
      <c r="B95" s="24"/>
      <c r="C95" s="24"/>
      <c r="D95" s="186"/>
      <c r="E95" s="193"/>
    </row>
    <row r="96" spans="2:5" ht="15.75">
      <c r="B96" s="24"/>
      <c r="C96" s="24"/>
      <c r="D96" s="193"/>
      <c r="E96" s="193"/>
    </row>
    <row r="97" ht="15.75">
      <c r="D97" s="185"/>
    </row>
    <row r="140" spans="1:13" ht="15.75">
      <c r="A140" s="278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</row>
  </sheetData>
  <sheetProtection/>
  <mergeCells count="12">
    <mergeCell ref="A1:R1"/>
    <mergeCell ref="A2:R2"/>
    <mergeCell ref="A3:R3"/>
    <mergeCell ref="O7:R7"/>
    <mergeCell ref="C7:J7"/>
    <mergeCell ref="A4:S4"/>
    <mergeCell ref="A140:M140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94"/>
  <sheetViews>
    <sheetView showGridLines="0" showZeros="0" tabSelected="1" view="pageBreakPreview" zoomScale="85" zoomScaleNormal="75" zoomScaleSheetLayoutView="85" zoomScalePageLayoutView="0" workbookViewId="0" topLeftCell="A1">
      <pane xSplit="2" ySplit="5" topLeftCell="E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16" customWidth="1"/>
    <col min="4" max="4" width="25.00390625" style="217" customWidth="1"/>
    <col min="5" max="5" width="22.75390625" style="256" customWidth="1"/>
    <col min="6" max="6" width="22.25390625" style="191" customWidth="1"/>
    <col min="7" max="7" width="20.875" style="191" customWidth="1"/>
    <col min="8" max="8" width="25.125" style="191" customWidth="1"/>
    <col min="9" max="9" width="17.00390625" style="191" customWidth="1"/>
    <col min="10" max="10" width="21.375" style="174" customWidth="1"/>
    <col min="11" max="11" width="21.625" style="174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9" ht="18" customHeight="1">
      <c r="A1" s="295" t="s">
        <v>118</v>
      </c>
      <c r="B1" s="295"/>
      <c r="C1" s="295"/>
      <c r="D1" s="295"/>
      <c r="E1" s="251"/>
      <c r="F1" s="194"/>
      <c r="G1" s="194"/>
      <c r="H1" s="189"/>
      <c r="I1" s="189"/>
    </row>
    <row r="2" spans="1:20" s="1" customFormat="1" ht="15.75">
      <c r="A2" s="34"/>
      <c r="B2" s="34" t="s">
        <v>24</v>
      </c>
      <c r="C2" s="207"/>
      <c r="D2" s="208"/>
      <c r="E2" s="252"/>
      <c r="F2" s="195"/>
      <c r="G2" s="195"/>
      <c r="H2" s="196"/>
      <c r="I2" s="195"/>
      <c r="J2" s="173"/>
      <c r="K2" s="197"/>
      <c r="L2" s="153"/>
      <c r="M2" s="22"/>
      <c r="R2" s="1" t="s">
        <v>201</v>
      </c>
      <c r="S2" s="22"/>
      <c r="T2" s="22"/>
    </row>
    <row r="3" spans="1:18" s="22" customFormat="1" ht="20.25">
      <c r="A3" s="282" t="s">
        <v>115</v>
      </c>
      <c r="B3" s="283" t="s">
        <v>25</v>
      </c>
      <c r="C3" s="294" t="s">
        <v>55</v>
      </c>
      <c r="D3" s="294"/>
      <c r="E3" s="294"/>
      <c r="F3" s="294"/>
      <c r="G3" s="294"/>
      <c r="H3" s="294"/>
      <c r="I3" s="294"/>
      <c r="J3" s="294" t="s">
        <v>56</v>
      </c>
      <c r="K3" s="294"/>
      <c r="L3" s="294"/>
      <c r="M3" s="294"/>
      <c r="N3" s="294" t="s">
        <v>57</v>
      </c>
      <c r="O3" s="294"/>
      <c r="P3" s="294"/>
      <c r="Q3" s="294"/>
      <c r="R3" s="294"/>
    </row>
    <row r="4" spans="1:18" s="56" customFormat="1" ht="128.25" customHeight="1">
      <c r="A4" s="282"/>
      <c r="B4" s="283"/>
      <c r="C4" s="269" t="s">
        <v>224</v>
      </c>
      <c r="D4" s="265" t="s">
        <v>229</v>
      </c>
      <c r="E4" s="72" t="s">
        <v>62</v>
      </c>
      <c r="F4" s="219" t="s">
        <v>230</v>
      </c>
      <c r="G4" s="218" t="s">
        <v>231</v>
      </c>
      <c r="H4" s="224" t="s">
        <v>93</v>
      </c>
      <c r="I4" s="224" t="s">
        <v>189</v>
      </c>
      <c r="J4" s="224" t="s">
        <v>219</v>
      </c>
      <c r="K4" s="52" t="s">
        <v>62</v>
      </c>
      <c r="L4" s="52" t="s">
        <v>170</v>
      </c>
      <c r="M4" s="52" t="s">
        <v>10</v>
      </c>
      <c r="N4" s="53" t="s">
        <v>61</v>
      </c>
      <c r="O4" s="53" t="s">
        <v>220</v>
      </c>
      <c r="P4" s="52" t="s">
        <v>62</v>
      </c>
      <c r="Q4" s="52" t="s">
        <v>177</v>
      </c>
      <c r="R4" s="52" t="s">
        <v>10</v>
      </c>
    </row>
    <row r="5" spans="1:20" s="11" customFormat="1" ht="14.25">
      <c r="A5" s="16">
        <v>1</v>
      </c>
      <c r="B5" s="16">
        <v>2</v>
      </c>
      <c r="C5" s="71" t="s">
        <v>51</v>
      </c>
      <c r="D5" s="152" t="s">
        <v>169</v>
      </c>
      <c r="E5" s="71" t="s">
        <v>11</v>
      </c>
      <c r="F5" s="15" t="s">
        <v>84</v>
      </c>
      <c r="G5" s="15" t="s">
        <v>85</v>
      </c>
      <c r="H5" s="15" t="s">
        <v>52</v>
      </c>
      <c r="I5" s="15" t="s">
        <v>12</v>
      </c>
      <c r="J5" s="152" t="s">
        <v>13</v>
      </c>
      <c r="K5" s="152" t="s">
        <v>14</v>
      </c>
      <c r="L5" s="152" t="s">
        <v>15</v>
      </c>
      <c r="M5" s="152" t="s">
        <v>53</v>
      </c>
      <c r="N5" s="15"/>
      <c r="O5" s="15" t="s">
        <v>16</v>
      </c>
      <c r="P5" s="15" t="s">
        <v>50</v>
      </c>
      <c r="Q5" s="15" t="s">
        <v>80</v>
      </c>
      <c r="R5" s="15" t="s">
        <v>81</v>
      </c>
      <c r="S5" s="25"/>
      <c r="T5" s="25"/>
    </row>
    <row r="6" spans="1:20" s="1" customFormat="1" ht="25.5" customHeight="1">
      <c r="A6" s="57" t="s">
        <v>95</v>
      </c>
      <c r="B6" s="104" t="s">
        <v>37</v>
      </c>
      <c r="C6" s="118">
        <f>C7+C8+C9</f>
        <v>1034895.64777</v>
      </c>
      <c r="D6" s="117">
        <f>D7+D8+D9</f>
        <v>391788.93200000003</v>
      </c>
      <c r="E6" s="118">
        <f>E7+E8+E9</f>
        <v>303461.86007999995</v>
      </c>
      <c r="F6" s="118">
        <f>E6-D6</f>
        <v>-88327.07192000007</v>
      </c>
      <c r="G6" s="137">
        <f>_xlfn.IFERROR(E6/D6,"")</f>
        <v>0.7745544483119802</v>
      </c>
      <c r="H6" s="118">
        <f aca="true" t="shared" si="0" ref="H6:H13">E6-C6</f>
        <v>-731433.7876900001</v>
      </c>
      <c r="I6" s="137">
        <f>_xlfn.IFERROR(E6/C6,"")</f>
        <v>0.29322942920274286</v>
      </c>
      <c r="J6" s="117">
        <f>J7+J8+J9</f>
        <v>39019.47679</v>
      </c>
      <c r="K6" s="117">
        <f>K7+K8+K9</f>
        <v>20898.267310000003</v>
      </c>
      <c r="L6" s="118">
        <f aca="true" t="shared" si="1" ref="L6:L16">K6-J6</f>
        <v>-18121.209479999998</v>
      </c>
      <c r="M6" s="137">
        <f>_xlfn.IFERROR(K6/J6,"")</f>
        <v>0.5355855339238136</v>
      </c>
      <c r="N6" s="118" t="e">
        <f>#REF!+#REF!</f>
        <v>#REF!</v>
      </c>
      <c r="O6" s="118">
        <f aca="true" t="shared" si="2" ref="O6:O13">C6+J6</f>
        <v>1073915.1245600001</v>
      </c>
      <c r="P6" s="118">
        <f aca="true" t="shared" si="3" ref="P6:P13">E6+K6</f>
        <v>324360.12739</v>
      </c>
      <c r="Q6" s="118">
        <f>P6-O6</f>
        <v>-749554.9971700001</v>
      </c>
      <c r="R6" s="137">
        <f>_xlfn.IFERROR(P6/O6,"")</f>
        <v>0.30203516085397847</v>
      </c>
      <c r="S6" s="22"/>
      <c r="T6" s="22"/>
    </row>
    <row r="7" spans="1:20" s="228" customFormat="1" ht="133.5" customHeight="1">
      <c r="A7" s="227" t="s">
        <v>119</v>
      </c>
      <c r="B7" s="105" t="s">
        <v>137</v>
      </c>
      <c r="C7" s="120">
        <v>644245.0364300001</v>
      </c>
      <c r="D7" s="120">
        <v>247425.13702000002</v>
      </c>
      <c r="E7" s="120">
        <v>193846.07408999995</v>
      </c>
      <c r="F7" s="120">
        <v>38821127.33</v>
      </c>
      <c r="G7" s="220">
        <f aca="true" t="shared" si="4" ref="G7:G47">_xlfn.IFERROR(E7/D7,"")</f>
        <v>0.7834534373697482</v>
      </c>
      <c r="H7" s="120">
        <f t="shared" si="0"/>
        <v>-450398.96234000014</v>
      </c>
      <c r="I7" s="220">
        <f aca="true" t="shared" si="5" ref="I7:I47">_xlfn.IFERROR(E7/C7,"")</f>
        <v>0.3008887350753569</v>
      </c>
      <c r="J7" s="120">
        <v>23674.039760000003</v>
      </c>
      <c r="K7" s="120">
        <v>9580.63366</v>
      </c>
      <c r="L7" s="120">
        <f>K7-J7</f>
        <v>-14093.406100000004</v>
      </c>
      <c r="M7" s="220">
        <f aca="true" t="shared" si="6" ref="M7:M47">_xlfn.IFERROR(K7/J7,"")</f>
        <v>0.4046894301574831</v>
      </c>
      <c r="N7" s="120"/>
      <c r="O7" s="120">
        <f t="shared" si="2"/>
        <v>667919.07619</v>
      </c>
      <c r="P7" s="120">
        <f t="shared" si="3"/>
        <v>203426.70774999994</v>
      </c>
      <c r="Q7" s="120">
        <f aca="true" t="shared" si="7" ref="Q7:Q51">P7-O7</f>
        <v>-464492.3684400001</v>
      </c>
      <c r="R7" s="220">
        <f aca="true" t="shared" si="8" ref="R7:R47">_xlfn.IFERROR(P7/O7,"")</f>
        <v>0.30456789602477535</v>
      </c>
      <c r="S7" s="156"/>
      <c r="T7" s="156"/>
    </row>
    <row r="8" spans="1:20" s="228" customFormat="1" ht="91.5" customHeight="1">
      <c r="A8" s="227" t="s">
        <v>136</v>
      </c>
      <c r="B8" s="105" t="s">
        <v>138</v>
      </c>
      <c r="C8" s="120">
        <v>312764.07494</v>
      </c>
      <c r="D8" s="120">
        <v>113966.58658</v>
      </c>
      <c r="E8" s="120">
        <v>88176.19759000001</v>
      </c>
      <c r="F8" s="120">
        <v>19954797.74</v>
      </c>
      <c r="G8" s="220">
        <f t="shared" si="4"/>
        <v>0.7737021897036798</v>
      </c>
      <c r="H8" s="120">
        <f>E8-C8</f>
        <v>-224587.87735000002</v>
      </c>
      <c r="I8" s="220">
        <f t="shared" si="5"/>
        <v>0.2819255939382282</v>
      </c>
      <c r="J8" s="120">
        <v>1759.88502</v>
      </c>
      <c r="K8" s="120">
        <v>1488.41937</v>
      </c>
      <c r="L8" s="120">
        <f>K8-J8</f>
        <v>-271.46564999999987</v>
      </c>
      <c r="M8" s="220">
        <f t="shared" si="6"/>
        <v>0.8457480762010237</v>
      </c>
      <c r="N8" s="120"/>
      <c r="O8" s="120">
        <f t="shared" si="2"/>
        <v>314523.95996</v>
      </c>
      <c r="P8" s="120">
        <f t="shared" si="3"/>
        <v>89664.61696000001</v>
      </c>
      <c r="Q8" s="120">
        <f>P8-O8</f>
        <v>-224859.343</v>
      </c>
      <c r="R8" s="220">
        <f t="shared" si="8"/>
        <v>0.2850804020507793</v>
      </c>
      <c r="S8" s="156"/>
      <c r="T8" s="156"/>
    </row>
    <row r="9" spans="1:20" s="230" customFormat="1" ht="51.75" customHeight="1">
      <c r="A9" s="227" t="s">
        <v>96</v>
      </c>
      <c r="B9" s="105" t="s">
        <v>139</v>
      </c>
      <c r="C9" s="120">
        <v>77886.53640000001</v>
      </c>
      <c r="D9" s="120">
        <v>30397.2084</v>
      </c>
      <c r="E9" s="120">
        <v>21439.588400000004</v>
      </c>
      <c r="F9" s="120">
        <v>3644127.84</v>
      </c>
      <c r="G9" s="220">
        <f t="shared" si="4"/>
        <v>0.7053143866987471</v>
      </c>
      <c r="H9" s="120">
        <f>E9-C9</f>
        <v>-56446.948000000004</v>
      </c>
      <c r="I9" s="220">
        <f t="shared" si="5"/>
        <v>0.2752669381764934</v>
      </c>
      <c r="J9" s="120">
        <v>13585.55201</v>
      </c>
      <c r="K9" s="120">
        <v>9829.214280000002</v>
      </c>
      <c r="L9" s="120">
        <f t="shared" si="1"/>
        <v>-3756.3377299999975</v>
      </c>
      <c r="M9" s="220">
        <f t="shared" si="6"/>
        <v>0.7235049612091546</v>
      </c>
      <c r="N9" s="120" t="e">
        <f>#REF!+#REF!</f>
        <v>#REF!</v>
      </c>
      <c r="O9" s="120">
        <f t="shared" si="2"/>
        <v>91472.08841000001</v>
      </c>
      <c r="P9" s="120">
        <f t="shared" si="3"/>
        <v>31268.802680000008</v>
      </c>
      <c r="Q9" s="120">
        <f>P9-O9</f>
        <v>-60203.28573</v>
      </c>
      <c r="R9" s="220">
        <f t="shared" si="8"/>
        <v>0.34183982484193076</v>
      </c>
      <c r="S9" s="229"/>
      <c r="T9" s="229"/>
    </row>
    <row r="10" spans="1:20" s="1" customFormat="1" ht="24.75" customHeight="1">
      <c r="A10" s="57" t="s">
        <v>97</v>
      </c>
      <c r="B10" s="104" t="s">
        <v>38</v>
      </c>
      <c r="C10" s="117">
        <v>5922782.24676</v>
      </c>
      <c r="D10" s="117">
        <v>2069344.4115900004</v>
      </c>
      <c r="E10" s="117">
        <v>1728031.15798</v>
      </c>
      <c r="F10" s="118">
        <v>323089206.23</v>
      </c>
      <c r="G10" s="137">
        <f t="shared" si="4"/>
        <v>0.8350621328676027</v>
      </c>
      <c r="H10" s="118">
        <f t="shared" si="0"/>
        <v>-4194751.08878</v>
      </c>
      <c r="I10" s="137">
        <f t="shared" si="5"/>
        <v>0.2917600353997992</v>
      </c>
      <c r="J10" s="117">
        <v>401205.84177999996</v>
      </c>
      <c r="K10" s="120">
        <v>95465.18592999998</v>
      </c>
      <c r="L10" s="118">
        <f t="shared" si="1"/>
        <v>-305740.65585</v>
      </c>
      <c r="M10" s="137">
        <f t="shared" si="6"/>
        <v>0.2379456528012073</v>
      </c>
      <c r="N10" s="118" t="e">
        <f>#REF!+#REF!</f>
        <v>#REF!</v>
      </c>
      <c r="O10" s="118">
        <f t="shared" si="2"/>
        <v>6323988.08854</v>
      </c>
      <c r="P10" s="118">
        <f t="shared" si="3"/>
        <v>1823496.3439099998</v>
      </c>
      <c r="Q10" s="118">
        <f t="shared" si="7"/>
        <v>-4500491.74463</v>
      </c>
      <c r="R10" s="137">
        <f t="shared" si="8"/>
        <v>0.2883459485343504</v>
      </c>
      <c r="S10" s="22"/>
      <c r="T10" s="22"/>
    </row>
    <row r="11" spans="1:20" s="1" customFormat="1" ht="29.25" customHeight="1">
      <c r="A11" s="57" t="s">
        <v>86</v>
      </c>
      <c r="B11" s="106" t="s">
        <v>190</v>
      </c>
      <c r="C11" s="117">
        <v>397108.0954799999</v>
      </c>
      <c r="D11" s="117">
        <v>186217.98148000005</v>
      </c>
      <c r="E11" s="117">
        <v>119655.35132000002</v>
      </c>
      <c r="F11" s="118">
        <v>5843565.12</v>
      </c>
      <c r="G11" s="137">
        <f t="shared" si="4"/>
        <v>0.6425553019585871</v>
      </c>
      <c r="H11" s="118">
        <f t="shared" si="0"/>
        <v>-277452.7441599999</v>
      </c>
      <c r="I11" s="137">
        <f t="shared" si="5"/>
        <v>0.30131682703513757</v>
      </c>
      <c r="J11" s="117">
        <v>17849.66503</v>
      </c>
      <c r="K11" s="120">
        <v>1587.2320499999998</v>
      </c>
      <c r="L11" s="118">
        <f t="shared" si="1"/>
        <v>-16262.43298</v>
      </c>
      <c r="M11" s="137">
        <f t="shared" si="6"/>
        <v>0.08892223172436754</v>
      </c>
      <c r="N11" s="118" t="e">
        <f>#REF!+#REF!</f>
        <v>#REF!</v>
      </c>
      <c r="O11" s="118">
        <f t="shared" si="2"/>
        <v>414957.7605099999</v>
      </c>
      <c r="P11" s="118">
        <f t="shared" si="3"/>
        <v>121242.58337000002</v>
      </c>
      <c r="Q11" s="118">
        <f t="shared" si="7"/>
        <v>-293715.17713999987</v>
      </c>
      <c r="R11" s="137">
        <f t="shared" si="8"/>
        <v>0.2921805419929681</v>
      </c>
      <c r="S11" s="22"/>
      <c r="T11" s="22"/>
    </row>
    <row r="12" spans="1:20" s="1" customFormat="1" ht="47.25" customHeight="1">
      <c r="A12" s="148" t="s">
        <v>87</v>
      </c>
      <c r="B12" s="107" t="s">
        <v>39</v>
      </c>
      <c r="C12" s="117">
        <f>SUM(C13:C29)</f>
        <v>501237.37854</v>
      </c>
      <c r="D12" s="117">
        <f>SUM(D13:D29)</f>
        <v>172041.74954000002</v>
      </c>
      <c r="E12" s="117">
        <f>SUM(E13:E29)</f>
        <v>134856.55344</v>
      </c>
      <c r="F12" s="118">
        <f aca="true" t="shared" si="9" ref="F12:F51">E12-D12</f>
        <v>-37185.19610000003</v>
      </c>
      <c r="G12" s="137">
        <f t="shared" si="4"/>
        <v>0.7838594631859728</v>
      </c>
      <c r="H12" s="118">
        <f t="shared" si="0"/>
        <v>-366380.8251</v>
      </c>
      <c r="I12" s="137">
        <f t="shared" si="5"/>
        <v>0.26904728021842467</v>
      </c>
      <c r="J12" s="117">
        <f>SUM(J13:J29)</f>
        <v>111309.2724</v>
      </c>
      <c r="K12" s="117">
        <f>SUM(K13:K29)</f>
        <v>42771.362689999994</v>
      </c>
      <c r="L12" s="118">
        <f t="shared" si="1"/>
        <v>-68537.90971</v>
      </c>
      <c r="M12" s="137">
        <f t="shared" si="6"/>
        <v>0.3842569605189513</v>
      </c>
      <c r="N12" s="118" t="e">
        <f>#REF!+#REF!</f>
        <v>#REF!</v>
      </c>
      <c r="O12" s="118">
        <f t="shared" si="2"/>
        <v>612546.65094</v>
      </c>
      <c r="P12" s="118">
        <f t="shared" si="3"/>
        <v>177627.91612999997</v>
      </c>
      <c r="Q12" s="118">
        <f t="shared" si="7"/>
        <v>-434918.73481</v>
      </c>
      <c r="R12" s="137">
        <f t="shared" si="8"/>
        <v>0.28998267455616034</v>
      </c>
      <c r="S12" s="22"/>
      <c r="T12" s="22"/>
    </row>
    <row r="13" spans="1:20" s="230" customFormat="1" ht="108" customHeight="1">
      <c r="A13" s="231" t="s">
        <v>99</v>
      </c>
      <c r="B13" s="105" t="s">
        <v>171</v>
      </c>
      <c r="C13" s="120">
        <v>112787</v>
      </c>
      <c r="D13" s="120">
        <v>32235.14</v>
      </c>
      <c r="E13" s="120">
        <v>29699.13489</v>
      </c>
      <c r="F13" s="120">
        <f t="shared" si="9"/>
        <v>-2536.0051099999982</v>
      </c>
      <c r="G13" s="220">
        <f t="shared" si="4"/>
        <v>0.9213279324985094</v>
      </c>
      <c r="H13" s="120">
        <f t="shared" si="0"/>
        <v>-83087.86511</v>
      </c>
      <c r="I13" s="220">
        <f t="shared" si="5"/>
        <v>0.2633205501520565</v>
      </c>
      <c r="J13" s="120">
        <v>0</v>
      </c>
      <c r="K13" s="245">
        <v>0</v>
      </c>
      <c r="L13" s="120">
        <f t="shared" si="1"/>
        <v>0</v>
      </c>
      <c r="M13" s="220">
        <f t="shared" si="6"/>
      </c>
      <c r="N13" s="120" t="e">
        <f>#REF!+#REF!</f>
        <v>#REF!</v>
      </c>
      <c r="O13" s="120">
        <f t="shared" si="2"/>
        <v>112787</v>
      </c>
      <c r="P13" s="120">
        <f t="shared" si="3"/>
        <v>29699.13489</v>
      </c>
      <c r="Q13" s="120">
        <f t="shared" si="7"/>
        <v>-83087.86511</v>
      </c>
      <c r="R13" s="220">
        <f t="shared" si="8"/>
        <v>0.2633205501520565</v>
      </c>
      <c r="S13" s="229"/>
      <c r="T13" s="229"/>
    </row>
    <row r="14" spans="1:20" s="230" customFormat="1" ht="66.75" customHeight="1">
      <c r="A14" s="231">
        <v>3050</v>
      </c>
      <c r="B14" s="105" t="s">
        <v>140</v>
      </c>
      <c r="C14" s="120">
        <v>1300</v>
      </c>
      <c r="D14" s="120">
        <v>444</v>
      </c>
      <c r="E14" s="120">
        <v>145.7198</v>
      </c>
      <c r="F14" s="120">
        <f aca="true" t="shared" si="10" ref="F14:F21">E14-D14</f>
        <v>-298.28020000000004</v>
      </c>
      <c r="G14" s="220">
        <f t="shared" si="4"/>
        <v>0.32819774774774774</v>
      </c>
      <c r="H14" s="120">
        <f aca="true" t="shared" si="11" ref="H14:H21">E14-C14</f>
        <v>-1154.2802</v>
      </c>
      <c r="I14" s="220">
        <f t="shared" si="5"/>
        <v>0.11209215384615384</v>
      </c>
      <c r="J14" s="120">
        <v>0</v>
      </c>
      <c r="K14" s="245">
        <v>0</v>
      </c>
      <c r="L14" s="120">
        <f t="shared" si="1"/>
        <v>0</v>
      </c>
      <c r="M14" s="220">
        <f t="shared" si="6"/>
      </c>
      <c r="N14" s="120"/>
      <c r="O14" s="120">
        <f aca="true" t="shared" si="12" ref="O14:O27">C14+J14</f>
        <v>1300</v>
      </c>
      <c r="P14" s="120">
        <f aca="true" t="shared" si="13" ref="P14:P27">E14+K14</f>
        <v>145.7198</v>
      </c>
      <c r="Q14" s="120">
        <f aca="true" t="shared" si="14" ref="Q14:Q27">P14-O14</f>
        <v>-1154.2802</v>
      </c>
      <c r="R14" s="220">
        <f t="shared" si="8"/>
        <v>0.11209215384615384</v>
      </c>
      <c r="S14" s="229"/>
      <c r="T14" s="229"/>
    </row>
    <row r="15" spans="1:20" s="230" customFormat="1" ht="23.25" customHeight="1">
      <c r="A15" s="231">
        <v>3070</v>
      </c>
      <c r="B15" s="105" t="s">
        <v>223</v>
      </c>
      <c r="C15" s="120">
        <v>31</v>
      </c>
      <c r="D15" s="120">
        <v>12</v>
      </c>
      <c r="E15" s="120">
        <v>1.5</v>
      </c>
      <c r="F15" s="120"/>
      <c r="G15" s="220">
        <f t="shared" si="4"/>
        <v>0.125</v>
      </c>
      <c r="H15" s="120">
        <f t="shared" si="11"/>
        <v>-29.5</v>
      </c>
      <c r="I15" s="220">
        <f t="shared" si="5"/>
        <v>0.04838709677419355</v>
      </c>
      <c r="J15" s="120">
        <v>0</v>
      </c>
      <c r="K15" s="245">
        <v>0</v>
      </c>
      <c r="L15" s="120">
        <f t="shared" si="1"/>
        <v>0</v>
      </c>
      <c r="M15" s="220">
        <f t="shared" si="6"/>
      </c>
      <c r="N15" s="120"/>
      <c r="O15" s="120">
        <f>C15+J15</f>
        <v>31</v>
      </c>
      <c r="P15" s="120">
        <f>E15+K15</f>
        <v>1.5</v>
      </c>
      <c r="Q15" s="120">
        <f>P15-O15</f>
        <v>-29.5</v>
      </c>
      <c r="R15" s="220">
        <f t="shared" si="8"/>
        <v>0.04838709677419355</v>
      </c>
      <c r="S15" s="229"/>
      <c r="T15" s="229"/>
    </row>
    <row r="16" spans="1:20" s="230" customFormat="1" ht="60.75" customHeight="1">
      <c r="A16" s="231">
        <v>3090</v>
      </c>
      <c r="B16" s="105" t="s">
        <v>141</v>
      </c>
      <c r="C16" s="120">
        <v>737.78</v>
      </c>
      <c r="D16" s="120">
        <v>480.58</v>
      </c>
      <c r="E16" s="120">
        <v>412.63092</v>
      </c>
      <c r="F16" s="120">
        <f t="shared" si="10"/>
        <v>-67.94907999999998</v>
      </c>
      <c r="G16" s="220">
        <f t="shared" si="4"/>
        <v>0.8586102625993591</v>
      </c>
      <c r="H16" s="120">
        <f t="shared" si="11"/>
        <v>-325.14907999999997</v>
      </c>
      <c r="I16" s="220">
        <f t="shared" si="5"/>
        <v>0.5592872129903224</v>
      </c>
      <c r="J16" s="120">
        <v>0</v>
      </c>
      <c r="K16" s="245">
        <v>0</v>
      </c>
      <c r="L16" s="120">
        <f t="shared" si="1"/>
        <v>0</v>
      </c>
      <c r="M16" s="220">
        <f t="shared" si="6"/>
      </c>
      <c r="N16" s="120"/>
      <c r="O16" s="120">
        <f t="shared" si="12"/>
        <v>737.78</v>
      </c>
      <c r="P16" s="120">
        <f t="shared" si="13"/>
        <v>412.63092</v>
      </c>
      <c r="Q16" s="120">
        <f t="shared" si="14"/>
        <v>-325.14907999999997</v>
      </c>
      <c r="R16" s="220">
        <f t="shared" si="8"/>
        <v>0.5592872129903224</v>
      </c>
      <c r="S16" s="229"/>
      <c r="T16" s="229"/>
    </row>
    <row r="17" spans="1:20" s="230" customFormat="1" ht="102" customHeight="1">
      <c r="A17" s="232" t="s">
        <v>88</v>
      </c>
      <c r="B17" s="159" t="s">
        <v>172</v>
      </c>
      <c r="C17" s="120">
        <v>208932.66913999998</v>
      </c>
      <c r="D17" s="120">
        <v>73188.24314</v>
      </c>
      <c r="E17" s="120">
        <v>61150.64697999999</v>
      </c>
      <c r="F17" s="120">
        <f t="shared" si="10"/>
        <v>-12037.596160000016</v>
      </c>
      <c r="G17" s="220">
        <f t="shared" si="4"/>
        <v>0.8355255483182785</v>
      </c>
      <c r="H17" s="120">
        <f t="shared" si="11"/>
        <v>-147782.02216</v>
      </c>
      <c r="I17" s="220">
        <f t="shared" si="5"/>
        <v>0.2926811169919274</v>
      </c>
      <c r="J17" s="120">
        <v>62547.23049</v>
      </c>
      <c r="K17" s="120">
        <v>20892.08143</v>
      </c>
      <c r="L17" s="120">
        <f>K17-J17</f>
        <v>-41655.14906</v>
      </c>
      <c r="M17" s="220">
        <f t="shared" si="6"/>
        <v>0.33402088735711816</v>
      </c>
      <c r="N17" s="120" t="e">
        <f>#REF!+#REF!</f>
        <v>#REF!</v>
      </c>
      <c r="O17" s="120">
        <f t="shared" si="12"/>
        <v>271479.89963</v>
      </c>
      <c r="P17" s="120">
        <f t="shared" si="13"/>
        <v>82042.72840999998</v>
      </c>
      <c r="Q17" s="120">
        <f t="shared" si="14"/>
        <v>-189437.17122000002</v>
      </c>
      <c r="R17" s="220">
        <f t="shared" si="8"/>
        <v>0.30220553537044925</v>
      </c>
      <c r="S17" s="229"/>
      <c r="T17" s="229"/>
    </row>
    <row r="18" spans="1:20" s="230" customFormat="1" ht="52.5" customHeight="1">
      <c r="A18" s="231" t="s">
        <v>89</v>
      </c>
      <c r="B18" s="105" t="s">
        <v>173</v>
      </c>
      <c r="C18" s="120">
        <v>6965.8974</v>
      </c>
      <c r="D18" s="120">
        <v>2306.5974</v>
      </c>
      <c r="E18" s="120">
        <v>2081.06982</v>
      </c>
      <c r="F18" s="120">
        <f t="shared" si="10"/>
        <v>-225.52757999999994</v>
      </c>
      <c r="G18" s="220">
        <f t="shared" si="4"/>
        <v>0.9022249916695476</v>
      </c>
      <c r="H18" s="120">
        <f t="shared" si="11"/>
        <v>-4884.827579999999</v>
      </c>
      <c r="I18" s="220">
        <f t="shared" si="5"/>
        <v>0.2987511443967005</v>
      </c>
      <c r="J18" s="120">
        <v>382.20469</v>
      </c>
      <c r="K18" s="120">
        <v>382.2046900000001</v>
      </c>
      <c r="L18" s="120">
        <f>K18-J18</f>
        <v>0</v>
      </c>
      <c r="M18" s="220">
        <f t="shared" si="6"/>
        <v>1.0000000000000002</v>
      </c>
      <c r="N18" s="120"/>
      <c r="O18" s="120">
        <f t="shared" si="12"/>
        <v>7348.10209</v>
      </c>
      <c r="P18" s="120">
        <f t="shared" si="13"/>
        <v>2463.27451</v>
      </c>
      <c r="Q18" s="120">
        <f t="shared" si="14"/>
        <v>-4884.82758</v>
      </c>
      <c r="R18" s="220">
        <f t="shared" si="8"/>
        <v>0.3352259508414097</v>
      </c>
      <c r="S18" s="229"/>
      <c r="T18" s="229"/>
    </row>
    <row r="19" spans="1:20" s="230" customFormat="1" ht="54.75" customHeight="1">
      <c r="A19" s="231">
        <v>3120</v>
      </c>
      <c r="B19" s="105" t="s">
        <v>174</v>
      </c>
      <c r="C19" s="120">
        <v>14190.300000000001</v>
      </c>
      <c r="D19" s="120">
        <v>4683.617</v>
      </c>
      <c r="E19" s="120">
        <v>3693.8539799999994</v>
      </c>
      <c r="F19" s="120">
        <f t="shared" si="10"/>
        <v>-989.7630200000008</v>
      </c>
      <c r="G19" s="220">
        <f t="shared" si="4"/>
        <v>0.7886755001529799</v>
      </c>
      <c r="H19" s="120">
        <f t="shared" si="11"/>
        <v>-10496.446020000001</v>
      </c>
      <c r="I19" s="220">
        <f t="shared" si="5"/>
        <v>0.2603083782583877</v>
      </c>
      <c r="J19" s="120">
        <v>3413.33229</v>
      </c>
      <c r="K19" s="120">
        <v>3343.3322900000003</v>
      </c>
      <c r="L19" s="120">
        <f>K19-J19</f>
        <v>-69.99999999999955</v>
      </c>
      <c r="M19" s="220">
        <f t="shared" si="6"/>
        <v>0.979492181231497</v>
      </c>
      <c r="N19" s="120"/>
      <c r="O19" s="120">
        <f t="shared" si="12"/>
        <v>17603.63229</v>
      </c>
      <c r="P19" s="120">
        <f t="shared" si="13"/>
        <v>7037.18627</v>
      </c>
      <c r="Q19" s="120">
        <f t="shared" si="14"/>
        <v>-10566.446020000001</v>
      </c>
      <c r="R19" s="220">
        <f t="shared" si="8"/>
        <v>0.3997576269527952</v>
      </c>
      <c r="S19" s="229"/>
      <c r="T19" s="229"/>
    </row>
    <row r="20" spans="1:20" s="230" customFormat="1" ht="47.25" customHeight="1">
      <c r="A20" s="231" t="s">
        <v>90</v>
      </c>
      <c r="B20" s="105" t="s">
        <v>102</v>
      </c>
      <c r="C20" s="120">
        <v>6522.728999999999</v>
      </c>
      <c r="D20" s="120">
        <v>1731.929</v>
      </c>
      <c r="E20" s="120">
        <v>889.11856</v>
      </c>
      <c r="F20" s="120">
        <f t="shared" si="10"/>
        <v>-842.8104400000001</v>
      </c>
      <c r="G20" s="220">
        <f t="shared" si="4"/>
        <v>0.5133689429532042</v>
      </c>
      <c r="H20" s="120">
        <f t="shared" si="11"/>
        <v>-5633.6104399999995</v>
      </c>
      <c r="I20" s="220">
        <f t="shared" si="5"/>
        <v>0.13631082327657643</v>
      </c>
      <c r="J20" s="120">
        <v>558.0092</v>
      </c>
      <c r="K20" s="120">
        <v>558.0092</v>
      </c>
      <c r="L20" s="120">
        <f>K20-J20</f>
        <v>0</v>
      </c>
      <c r="M20" s="220">
        <f t="shared" si="6"/>
        <v>1</v>
      </c>
      <c r="N20" s="120"/>
      <c r="O20" s="120">
        <f t="shared" si="12"/>
        <v>7080.7382</v>
      </c>
      <c r="P20" s="120">
        <f t="shared" si="13"/>
        <v>1447.1277599999999</v>
      </c>
      <c r="Q20" s="120">
        <f t="shared" si="14"/>
        <v>-5633.61044</v>
      </c>
      <c r="R20" s="220">
        <f t="shared" si="8"/>
        <v>0.2043752669742824</v>
      </c>
      <c r="S20" s="229"/>
      <c r="T20" s="229"/>
    </row>
    <row r="21" spans="1:20" s="230" customFormat="1" ht="112.5" customHeight="1">
      <c r="A21" s="231" t="s">
        <v>91</v>
      </c>
      <c r="B21" s="105" t="s">
        <v>175</v>
      </c>
      <c r="C21" s="120">
        <v>7121.400000000001</v>
      </c>
      <c r="D21" s="120">
        <v>374.2</v>
      </c>
      <c r="E21" s="120">
        <v>0</v>
      </c>
      <c r="F21" s="119">
        <f t="shared" si="10"/>
        <v>-374.2</v>
      </c>
      <c r="G21" s="120">
        <f t="shared" si="4"/>
        <v>0</v>
      </c>
      <c r="H21" s="120">
        <f t="shared" si="11"/>
        <v>-7121.400000000001</v>
      </c>
      <c r="I21" s="220">
        <f t="shared" si="5"/>
        <v>0</v>
      </c>
      <c r="J21" s="120">
        <v>52.21005</v>
      </c>
      <c r="K21" s="120">
        <v>0</v>
      </c>
      <c r="L21" s="120">
        <f>K21-J21</f>
        <v>-52.21005</v>
      </c>
      <c r="M21" s="220">
        <f t="shared" si="6"/>
        <v>0</v>
      </c>
      <c r="N21" s="120" t="e">
        <f>#REF!+#REF!</f>
        <v>#REF!</v>
      </c>
      <c r="O21" s="120">
        <f t="shared" si="12"/>
        <v>7173.61005</v>
      </c>
      <c r="P21" s="120">
        <f t="shared" si="13"/>
        <v>0</v>
      </c>
      <c r="Q21" s="120">
        <f t="shared" si="14"/>
        <v>-7173.61005</v>
      </c>
      <c r="R21" s="220">
        <f t="shared" si="8"/>
        <v>0</v>
      </c>
      <c r="S21" s="229"/>
      <c r="T21" s="229"/>
    </row>
    <row r="22" spans="1:20" s="230" customFormat="1" ht="150" customHeight="1">
      <c r="A22" s="231">
        <v>3160</v>
      </c>
      <c r="B22" s="105" t="s">
        <v>142</v>
      </c>
      <c r="C22" s="120">
        <v>7702.4400000000005</v>
      </c>
      <c r="D22" s="120">
        <v>3148.3</v>
      </c>
      <c r="E22" s="120">
        <v>2020.5921799999999</v>
      </c>
      <c r="F22" s="119">
        <f>E22-D22</f>
        <v>-1127.7078200000003</v>
      </c>
      <c r="G22" s="220">
        <f t="shared" si="4"/>
        <v>0.6418042054442079</v>
      </c>
      <c r="H22" s="120">
        <f>E22-C22</f>
        <v>-5681.847820000001</v>
      </c>
      <c r="I22" s="220">
        <f t="shared" si="5"/>
        <v>0.26233144042666995</v>
      </c>
      <c r="J22" s="119">
        <v>0</v>
      </c>
      <c r="K22" s="120">
        <v>0</v>
      </c>
      <c r="L22" s="120">
        <f aca="true" t="shared" si="15" ref="L22:L29">K22-J22</f>
        <v>0</v>
      </c>
      <c r="M22" s="220">
        <f t="shared" si="6"/>
      </c>
      <c r="N22" s="120"/>
      <c r="O22" s="120">
        <f t="shared" si="12"/>
        <v>7702.4400000000005</v>
      </c>
      <c r="P22" s="120">
        <f>E22+K22</f>
        <v>2020.5921799999999</v>
      </c>
      <c r="Q22" s="120">
        <f t="shared" si="14"/>
        <v>-5681.847820000001</v>
      </c>
      <c r="R22" s="220">
        <f t="shared" si="8"/>
        <v>0.26233144042666995</v>
      </c>
      <c r="S22" s="229"/>
      <c r="T22" s="229"/>
    </row>
    <row r="23" spans="1:20" s="230" customFormat="1" ht="50.25" customHeight="1">
      <c r="A23" s="231">
        <v>3170</v>
      </c>
      <c r="B23" s="105" t="s">
        <v>144</v>
      </c>
      <c r="C23" s="120">
        <v>550.2</v>
      </c>
      <c r="D23" s="120">
        <v>275.6</v>
      </c>
      <c r="E23" s="120">
        <v>175.3605</v>
      </c>
      <c r="F23" s="120">
        <f>E23-D23</f>
        <v>-100.23950000000002</v>
      </c>
      <c r="G23" s="220">
        <f t="shared" si="4"/>
        <v>0.6362862844702467</v>
      </c>
      <c r="H23" s="120">
        <f>E23-C23</f>
        <v>-374.83950000000004</v>
      </c>
      <c r="I23" s="220">
        <f t="shared" si="5"/>
        <v>0.31872137404580153</v>
      </c>
      <c r="J23" s="120">
        <v>0</v>
      </c>
      <c r="K23" s="120">
        <v>0</v>
      </c>
      <c r="L23" s="120">
        <f t="shared" si="15"/>
        <v>0</v>
      </c>
      <c r="M23" s="220">
        <f t="shared" si="6"/>
      </c>
      <c r="N23" s="120"/>
      <c r="O23" s="120">
        <f t="shared" si="12"/>
        <v>550.2</v>
      </c>
      <c r="P23" s="120">
        <f>E23+K23</f>
        <v>175.3605</v>
      </c>
      <c r="Q23" s="120">
        <f t="shared" si="14"/>
        <v>-374.83950000000004</v>
      </c>
      <c r="R23" s="220">
        <f t="shared" si="8"/>
        <v>0.31872137404580153</v>
      </c>
      <c r="S23" s="229"/>
      <c r="T23" s="229"/>
    </row>
    <row r="24" spans="1:20" s="230" customFormat="1" ht="126" customHeight="1">
      <c r="A24" s="231" t="s">
        <v>100</v>
      </c>
      <c r="B24" s="105" t="s">
        <v>176</v>
      </c>
      <c r="C24" s="120">
        <v>15000</v>
      </c>
      <c r="D24" s="120">
        <v>6202</v>
      </c>
      <c r="E24" s="120">
        <v>4226.632680000001</v>
      </c>
      <c r="F24" s="120">
        <f t="shared" si="9"/>
        <v>-1975.3673199999994</v>
      </c>
      <c r="G24" s="220">
        <f t="shared" si="4"/>
        <v>0.6814951112544342</v>
      </c>
      <c r="H24" s="120">
        <f aca="true" t="shared" si="16" ref="H24:H33">E24-C24</f>
        <v>-10773.36732</v>
      </c>
      <c r="I24" s="220">
        <f t="shared" si="5"/>
        <v>0.28177551200000006</v>
      </c>
      <c r="J24" s="120">
        <v>0</v>
      </c>
      <c r="K24" s="120">
        <v>0</v>
      </c>
      <c r="L24" s="120">
        <f t="shared" si="15"/>
        <v>0</v>
      </c>
      <c r="M24" s="220">
        <f t="shared" si="6"/>
      </c>
      <c r="N24" s="120" t="e">
        <f>#REF!+#REF!</f>
        <v>#REF!</v>
      </c>
      <c r="O24" s="120">
        <f t="shared" si="12"/>
        <v>15000</v>
      </c>
      <c r="P24" s="120">
        <f t="shared" si="13"/>
        <v>4226.632680000001</v>
      </c>
      <c r="Q24" s="120">
        <f t="shared" si="14"/>
        <v>-10773.36732</v>
      </c>
      <c r="R24" s="220">
        <f t="shared" si="8"/>
        <v>0.28177551200000006</v>
      </c>
      <c r="S24" s="229"/>
      <c r="T24" s="229"/>
    </row>
    <row r="25" spans="1:20" s="230" customFormat="1" ht="48.75" customHeight="1">
      <c r="A25" s="231" t="s">
        <v>101</v>
      </c>
      <c r="B25" s="105" t="s">
        <v>98</v>
      </c>
      <c r="C25" s="120">
        <v>917</v>
      </c>
      <c r="D25" s="120">
        <v>626.5</v>
      </c>
      <c r="E25" s="120">
        <v>119.30219000000001</v>
      </c>
      <c r="F25" s="120">
        <f t="shared" si="9"/>
        <v>-507.19781</v>
      </c>
      <c r="G25" s="220">
        <f t="shared" si="4"/>
        <v>0.1904264804469274</v>
      </c>
      <c r="H25" s="120">
        <f t="shared" si="16"/>
        <v>-797.69781</v>
      </c>
      <c r="I25" s="220">
        <f t="shared" si="5"/>
        <v>0.13010053435114505</v>
      </c>
      <c r="J25" s="120">
        <v>0</v>
      </c>
      <c r="K25" s="120">
        <v>0</v>
      </c>
      <c r="L25" s="120">
        <f t="shared" si="15"/>
        <v>0</v>
      </c>
      <c r="M25" s="220">
        <f t="shared" si="6"/>
      </c>
      <c r="N25" s="120" t="e">
        <f>#REF!+#REF!</f>
        <v>#REF!</v>
      </c>
      <c r="O25" s="120">
        <f t="shared" si="12"/>
        <v>917</v>
      </c>
      <c r="P25" s="120">
        <f t="shared" si="13"/>
        <v>119.30219000000001</v>
      </c>
      <c r="Q25" s="120">
        <f t="shared" si="14"/>
        <v>-797.69781</v>
      </c>
      <c r="R25" s="220">
        <f t="shared" si="8"/>
        <v>0.13010053435114505</v>
      </c>
      <c r="S25" s="229"/>
      <c r="T25" s="229"/>
    </row>
    <row r="26" spans="1:20" s="230" customFormat="1" ht="66.75" customHeight="1">
      <c r="A26" s="231">
        <v>3200</v>
      </c>
      <c r="B26" s="105" t="s">
        <v>143</v>
      </c>
      <c r="C26" s="120">
        <v>9000</v>
      </c>
      <c r="D26" s="120">
        <v>3335.96</v>
      </c>
      <c r="E26" s="120">
        <v>2942.40084</v>
      </c>
      <c r="F26" s="120">
        <f>E26-D26</f>
        <v>-393.55916000000025</v>
      </c>
      <c r="G26" s="220">
        <f t="shared" si="4"/>
        <v>0.8820252161296898</v>
      </c>
      <c r="H26" s="120">
        <f>E26-C26</f>
        <v>-6057.59916</v>
      </c>
      <c r="I26" s="220">
        <f t="shared" si="5"/>
        <v>0.32693342666666664</v>
      </c>
      <c r="J26" s="120">
        <v>589.6316999999999</v>
      </c>
      <c r="K26" s="120">
        <v>71.21428</v>
      </c>
      <c r="L26" s="120">
        <f t="shared" si="15"/>
        <v>-518.4174199999999</v>
      </c>
      <c r="M26" s="220">
        <f t="shared" si="6"/>
        <v>0.12077756335013876</v>
      </c>
      <c r="N26" s="120"/>
      <c r="O26" s="120">
        <f t="shared" si="12"/>
        <v>9589.6317</v>
      </c>
      <c r="P26" s="120">
        <f t="shared" si="13"/>
        <v>3013.61512</v>
      </c>
      <c r="Q26" s="120">
        <f t="shared" si="14"/>
        <v>-6576.0165799999995</v>
      </c>
      <c r="R26" s="220">
        <f t="shared" si="8"/>
        <v>0.3142576497489471</v>
      </c>
      <c r="S26" s="229"/>
      <c r="T26" s="229"/>
    </row>
    <row r="27" spans="1:20" s="230" customFormat="1" ht="53.25" customHeight="1">
      <c r="A27" s="231">
        <v>3210</v>
      </c>
      <c r="B27" s="105" t="s">
        <v>83</v>
      </c>
      <c r="C27" s="120">
        <v>1455.25</v>
      </c>
      <c r="D27" s="120">
        <v>673.722</v>
      </c>
      <c r="E27" s="120">
        <v>172.86713</v>
      </c>
      <c r="F27" s="120">
        <f>E27-D27</f>
        <v>-500.85487</v>
      </c>
      <c r="G27" s="220">
        <f t="shared" si="4"/>
        <v>0.2565852532646997</v>
      </c>
      <c r="H27" s="120">
        <f>E27-C27</f>
        <v>-1282.38287</v>
      </c>
      <c r="I27" s="220">
        <f t="shared" si="5"/>
        <v>0.11878861364026799</v>
      </c>
      <c r="J27" s="120">
        <v>235.23531</v>
      </c>
      <c r="K27" s="120">
        <v>41.77475999999999</v>
      </c>
      <c r="L27" s="120">
        <f t="shared" si="15"/>
        <v>-193.46055</v>
      </c>
      <c r="M27" s="220">
        <f t="shared" si="6"/>
        <v>0.1775871147915676</v>
      </c>
      <c r="N27" s="120"/>
      <c r="O27" s="120">
        <f t="shared" si="12"/>
        <v>1690.48531</v>
      </c>
      <c r="P27" s="120">
        <f t="shared" si="13"/>
        <v>214.64189</v>
      </c>
      <c r="Q27" s="120">
        <f t="shared" si="14"/>
        <v>-1475.8434200000002</v>
      </c>
      <c r="R27" s="220">
        <f t="shared" si="8"/>
        <v>0.12697057391170113</v>
      </c>
      <c r="S27" s="229"/>
      <c r="T27" s="229"/>
    </row>
    <row r="28" spans="1:20" s="230" customFormat="1" ht="84.75" customHeight="1">
      <c r="A28" s="231">
        <v>3230</v>
      </c>
      <c r="B28" s="105" t="s">
        <v>227</v>
      </c>
      <c r="C28" s="120">
        <v>17770.945</v>
      </c>
      <c r="D28" s="120">
        <v>4715.217000000001</v>
      </c>
      <c r="E28" s="120">
        <v>1077.11698</v>
      </c>
      <c r="F28" s="120">
        <f>E28-D28</f>
        <v>-3638.1000200000008</v>
      </c>
      <c r="G28" s="220">
        <f>_xlfn.IFERROR(E28/D28,"")</f>
        <v>0.22843423324949835</v>
      </c>
      <c r="H28" s="120">
        <f>E28-C28</f>
        <v>-16693.82802</v>
      </c>
      <c r="I28" s="220">
        <f t="shared" si="5"/>
        <v>0.06061112563231725</v>
      </c>
      <c r="J28" s="120">
        <v>37729.05571</v>
      </c>
      <c r="K28" s="120">
        <v>13231.219720000003</v>
      </c>
      <c r="L28" s="120">
        <f>K28-J28</f>
        <v>-24497.83599</v>
      </c>
      <c r="M28" s="220">
        <f>_xlfn.IFERROR(K28/J28,"")</f>
        <v>0.35069045516803377</v>
      </c>
      <c r="N28" s="120"/>
      <c r="O28" s="120">
        <f>C28+J28</f>
        <v>55500.00071</v>
      </c>
      <c r="P28" s="120">
        <f>E28+K28</f>
        <v>14308.336700000003</v>
      </c>
      <c r="Q28" s="120">
        <f>P28-O28</f>
        <v>-41191.66400999999</v>
      </c>
      <c r="R28" s="220">
        <f>_xlfn.IFERROR(P28/O28,"")</f>
        <v>0.25780786517038595</v>
      </c>
      <c r="S28" s="229"/>
      <c r="T28" s="229"/>
    </row>
    <row r="29" spans="1:20" s="230" customFormat="1" ht="21" customHeight="1">
      <c r="A29" s="231" t="s">
        <v>103</v>
      </c>
      <c r="B29" s="105" t="s">
        <v>134</v>
      </c>
      <c r="C29" s="120">
        <v>90252.768</v>
      </c>
      <c r="D29" s="120">
        <v>37608.144</v>
      </c>
      <c r="E29" s="120">
        <v>26048.605989999996</v>
      </c>
      <c r="F29" s="120">
        <f t="shared" si="9"/>
        <v>-11559.538010000004</v>
      </c>
      <c r="G29" s="220">
        <f t="shared" si="4"/>
        <v>0.6926320530468081</v>
      </c>
      <c r="H29" s="120">
        <f t="shared" si="16"/>
        <v>-64204.16201</v>
      </c>
      <c r="I29" s="220">
        <f t="shared" si="5"/>
        <v>0.2886183611565243</v>
      </c>
      <c r="J29" s="120">
        <v>5802.36296</v>
      </c>
      <c r="K29" s="120">
        <v>4251.52632</v>
      </c>
      <c r="L29" s="120">
        <f t="shared" si="15"/>
        <v>-1550.8366400000004</v>
      </c>
      <c r="M29" s="220">
        <f t="shared" si="6"/>
        <v>0.7327232627998163</v>
      </c>
      <c r="N29" s="120"/>
      <c r="O29" s="120">
        <f aca="true" t="shared" si="17" ref="O29:O47">C29+J29</f>
        <v>96055.13096</v>
      </c>
      <c r="P29" s="120">
        <f aca="true" t="shared" si="18" ref="P29:P47">E29+K29</f>
        <v>30300.132309999997</v>
      </c>
      <c r="Q29" s="120">
        <f>P29-O29</f>
        <v>-65754.99865</v>
      </c>
      <c r="R29" s="220">
        <f t="shared" si="8"/>
        <v>0.31544522408300923</v>
      </c>
      <c r="S29" s="229"/>
      <c r="T29" s="229"/>
    </row>
    <row r="30" spans="1:20" s="48" customFormat="1" ht="27" customHeight="1">
      <c r="A30" s="58" t="s">
        <v>104</v>
      </c>
      <c r="B30" s="108" t="s">
        <v>41</v>
      </c>
      <c r="C30" s="117">
        <v>299682.51733000006</v>
      </c>
      <c r="D30" s="117">
        <v>107780.51674000002</v>
      </c>
      <c r="E30" s="117">
        <v>79302.15787</v>
      </c>
      <c r="F30" s="118">
        <f t="shared" si="9"/>
        <v>-28478.358870000025</v>
      </c>
      <c r="G30" s="137">
        <f t="shared" si="4"/>
        <v>0.7357745190747355</v>
      </c>
      <c r="H30" s="118">
        <f t="shared" si="16"/>
        <v>-220380.35946000007</v>
      </c>
      <c r="I30" s="137">
        <f t="shared" si="5"/>
        <v>0.2646205677145831</v>
      </c>
      <c r="J30" s="117">
        <v>17020.70687</v>
      </c>
      <c r="K30" s="117">
        <v>2890.31258</v>
      </c>
      <c r="L30" s="118">
        <f aca="true" t="shared" si="19" ref="L30:L41">K30-J30</f>
        <v>-14130.394290000002</v>
      </c>
      <c r="M30" s="137">
        <f t="shared" si="6"/>
        <v>0.1698115479031218</v>
      </c>
      <c r="N30" s="118" t="e">
        <f>#REF!+#REF!</f>
        <v>#REF!</v>
      </c>
      <c r="O30" s="118">
        <f t="shared" si="17"/>
        <v>316703.22420000006</v>
      </c>
      <c r="P30" s="118">
        <f t="shared" si="18"/>
        <v>82192.47045</v>
      </c>
      <c r="Q30" s="118">
        <f t="shared" si="7"/>
        <v>-234510.75375000006</v>
      </c>
      <c r="R30" s="137">
        <f t="shared" si="8"/>
        <v>0.2595252089953304</v>
      </c>
      <c r="S30" s="47"/>
      <c r="T30" s="47"/>
    </row>
    <row r="31" spans="1:20" s="48" customFormat="1" ht="32.25" customHeight="1">
      <c r="A31" s="59" t="s">
        <v>105</v>
      </c>
      <c r="B31" s="108" t="s">
        <v>43</v>
      </c>
      <c r="C31" s="117">
        <v>141604.844</v>
      </c>
      <c r="D31" s="117">
        <v>50185.97742000001</v>
      </c>
      <c r="E31" s="117">
        <v>38533.40110999999</v>
      </c>
      <c r="F31" s="118">
        <f t="shared" si="9"/>
        <v>-11652.576310000019</v>
      </c>
      <c r="G31" s="137">
        <f t="shared" si="4"/>
        <v>0.7678121079025502</v>
      </c>
      <c r="H31" s="118">
        <f t="shared" si="16"/>
        <v>-103071.44289000002</v>
      </c>
      <c r="I31" s="137">
        <f t="shared" si="5"/>
        <v>0.2721192299749293</v>
      </c>
      <c r="J31" s="117">
        <v>14459.497589999999</v>
      </c>
      <c r="K31" s="117">
        <v>243.05736000000002</v>
      </c>
      <c r="L31" s="118">
        <f t="shared" si="19"/>
        <v>-14216.440229999998</v>
      </c>
      <c r="M31" s="137">
        <f t="shared" si="6"/>
        <v>0.016809530102075976</v>
      </c>
      <c r="N31" s="118" t="e">
        <f>#REF!+#REF!</f>
        <v>#REF!</v>
      </c>
      <c r="O31" s="118">
        <f t="shared" si="17"/>
        <v>156064.34159000003</v>
      </c>
      <c r="P31" s="118">
        <f t="shared" si="18"/>
        <v>38776.45846999999</v>
      </c>
      <c r="Q31" s="118">
        <f t="shared" si="7"/>
        <v>-117287.88312000004</v>
      </c>
      <c r="R31" s="137">
        <f t="shared" si="8"/>
        <v>0.248464563236812</v>
      </c>
      <c r="S31" s="47"/>
      <c r="T31" s="47"/>
    </row>
    <row r="32" spans="1:20" s="48" customFormat="1" ht="34.5" customHeight="1">
      <c r="A32" s="59" t="s">
        <v>106</v>
      </c>
      <c r="B32" s="108" t="s">
        <v>40</v>
      </c>
      <c r="C32" s="117">
        <v>778098.0815299999</v>
      </c>
      <c r="D32" s="117">
        <v>301570.23453</v>
      </c>
      <c r="E32" s="117">
        <v>132030.56629</v>
      </c>
      <c r="F32" s="118">
        <f t="shared" si="9"/>
        <v>-169539.66824000003</v>
      </c>
      <c r="G32" s="137">
        <f t="shared" si="4"/>
        <v>0.437810337932624</v>
      </c>
      <c r="H32" s="118">
        <f t="shared" si="16"/>
        <v>-646067.5152399999</v>
      </c>
      <c r="I32" s="137">
        <f t="shared" si="5"/>
        <v>0.16968370623711596</v>
      </c>
      <c r="J32" s="117">
        <v>290233.88625</v>
      </c>
      <c r="K32" s="117">
        <v>25887.28</v>
      </c>
      <c r="L32" s="118">
        <f t="shared" si="19"/>
        <v>-264346.60624999995</v>
      </c>
      <c r="M32" s="137">
        <f t="shared" si="6"/>
        <v>0.0891945469720285</v>
      </c>
      <c r="N32" s="118" t="e">
        <f>#REF!+#REF!</f>
        <v>#REF!</v>
      </c>
      <c r="O32" s="118">
        <f t="shared" si="17"/>
        <v>1068331.9677799998</v>
      </c>
      <c r="P32" s="118">
        <f t="shared" si="18"/>
        <v>157917.84629</v>
      </c>
      <c r="Q32" s="118">
        <f t="shared" si="7"/>
        <v>-910414.1214899998</v>
      </c>
      <c r="R32" s="137">
        <f t="shared" si="8"/>
        <v>0.14781720574940221</v>
      </c>
      <c r="S32" s="47"/>
      <c r="T32" s="47"/>
    </row>
    <row r="33" spans="1:20" s="70" customFormat="1" ht="25.5" customHeight="1">
      <c r="A33" s="67" t="s">
        <v>107</v>
      </c>
      <c r="B33" s="109" t="s">
        <v>120</v>
      </c>
      <c r="C33" s="117">
        <f>SUM(C34:C40)</f>
        <v>217135.2559</v>
      </c>
      <c r="D33" s="117">
        <f>SUM(D34:D40)</f>
        <v>89570.15290000002</v>
      </c>
      <c r="E33" s="117">
        <f>SUM(E34:E40)</f>
        <v>47368.66</v>
      </c>
      <c r="F33" s="117">
        <f t="shared" si="9"/>
        <v>-42201.49290000001</v>
      </c>
      <c r="G33" s="137">
        <f t="shared" si="4"/>
        <v>0.5288442462846348</v>
      </c>
      <c r="H33" s="117">
        <f t="shared" si="16"/>
        <v>-169766.5959</v>
      </c>
      <c r="I33" s="137">
        <f t="shared" si="5"/>
        <v>0.21815278133282642</v>
      </c>
      <c r="J33" s="117">
        <f>SUM(J34:J40)</f>
        <v>1060270.74937</v>
      </c>
      <c r="K33" s="117">
        <f>SUM(K34:K40)</f>
        <v>127116.73238</v>
      </c>
      <c r="L33" s="118">
        <f t="shared" si="19"/>
        <v>-933154.0169900001</v>
      </c>
      <c r="M33" s="137">
        <f t="shared" si="6"/>
        <v>0.11989082265594067</v>
      </c>
      <c r="N33" s="117" t="e">
        <f>#REF!+#REF!</f>
        <v>#REF!</v>
      </c>
      <c r="O33" s="117">
        <f t="shared" si="17"/>
        <v>1277406.00527</v>
      </c>
      <c r="P33" s="117">
        <f t="shared" si="18"/>
        <v>174485.39238</v>
      </c>
      <c r="Q33" s="117">
        <f t="shared" si="7"/>
        <v>-1102920.61289</v>
      </c>
      <c r="R33" s="137">
        <f t="shared" si="8"/>
        <v>0.13659352755517987</v>
      </c>
      <c r="S33" s="68"/>
      <c r="T33" s="69"/>
    </row>
    <row r="34" spans="1:20" s="48" customFormat="1" ht="48" customHeight="1">
      <c r="A34" s="143" t="s">
        <v>132</v>
      </c>
      <c r="B34" s="110" t="s">
        <v>133</v>
      </c>
      <c r="C34" s="120">
        <v>15675.69058</v>
      </c>
      <c r="D34" s="120">
        <v>11681.99058</v>
      </c>
      <c r="E34" s="120">
        <v>3742.6635200000005</v>
      </c>
      <c r="F34" s="120">
        <f t="shared" si="9"/>
        <v>-7939.32706</v>
      </c>
      <c r="G34" s="220">
        <f t="shared" si="4"/>
        <v>0.32037891953170883</v>
      </c>
      <c r="H34" s="120">
        <f aca="true" t="shared" si="20" ref="H34:H44">E34-C34</f>
        <v>-11933.02706</v>
      </c>
      <c r="I34" s="220">
        <f t="shared" si="5"/>
        <v>0.2387558940959908</v>
      </c>
      <c r="J34" s="120">
        <v>3617.40908</v>
      </c>
      <c r="K34" s="120">
        <v>887.7271700000001</v>
      </c>
      <c r="L34" s="120">
        <f t="shared" si="19"/>
        <v>-2729.68191</v>
      </c>
      <c r="M34" s="138">
        <f t="shared" si="6"/>
        <v>0.24540414157416782</v>
      </c>
      <c r="N34" s="120"/>
      <c r="O34" s="120">
        <f t="shared" si="17"/>
        <v>19293.09966</v>
      </c>
      <c r="P34" s="120">
        <f t="shared" si="18"/>
        <v>4630.39069</v>
      </c>
      <c r="Q34" s="120">
        <f>P34-O34</f>
        <v>-14662.70897</v>
      </c>
      <c r="R34" s="220">
        <f t="shared" si="8"/>
        <v>0.24000242426571283</v>
      </c>
      <c r="S34" s="49"/>
      <c r="T34" s="47"/>
    </row>
    <row r="35" spans="1:20" s="48" customFormat="1" ht="29.25" customHeight="1" hidden="1">
      <c r="A35" s="143" t="s">
        <v>210</v>
      </c>
      <c r="B35" s="110" t="s">
        <v>211</v>
      </c>
      <c r="C35" s="120">
        <v>0</v>
      </c>
      <c r="D35" s="120">
        <v>0</v>
      </c>
      <c r="E35" s="120">
        <v>0</v>
      </c>
      <c r="F35" s="120">
        <f t="shared" si="9"/>
        <v>0</v>
      </c>
      <c r="G35" s="220">
        <f t="shared" si="4"/>
      </c>
      <c r="H35" s="120">
        <f t="shared" si="20"/>
        <v>0</v>
      </c>
      <c r="I35" s="220">
        <f t="shared" si="5"/>
      </c>
      <c r="J35" s="120">
        <v>0</v>
      </c>
      <c r="K35" s="120">
        <v>0</v>
      </c>
      <c r="L35" s="120">
        <f t="shared" si="19"/>
        <v>0</v>
      </c>
      <c r="M35" s="138">
        <f t="shared" si="6"/>
      </c>
      <c r="N35" s="120"/>
      <c r="O35" s="120">
        <f t="shared" si="17"/>
        <v>0</v>
      </c>
      <c r="P35" s="120">
        <f t="shared" si="18"/>
        <v>0</v>
      </c>
      <c r="Q35" s="120">
        <f>P35-O35</f>
        <v>0</v>
      </c>
      <c r="R35" s="220">
        <f t="shared" si="8"/>
      </c>
      <c r="S35" s="49"/>
      <c r="T35" s="47"/>
    </row>
    <row r="36" spans="1:20" s="48" customFormat="1" ht="24" customHeight="1">
      <c r="A36" s="143" t="s">
        <v>111</v>
      </c>
      <c r="B36" s="110" t="s">
        <v>121</v>
      </c>
      <c r="C36" s="120">
        <v>14726.597</v>
      </c>
      <c r="D36" s="120">
        <v>1534.797</v>
      </c>
      <c r="E36" s="120">
        <v>140.42722</v>
      </c>
      <c r="F36" s="120">
        <f t="shared" si="9"/>
        <v>-1394.36978</v>
      </c>
      <c r="G36" s="220">
        <f t="shared" si="4"/>
        <v>0.09149563101830405</v>
      </c>
      <c r="H36" s="120">
        <f t="shared" si="20"/>
        <v>-14586.16978</v>
      </c>
      <c r="I36" s="220">
        <f t="shared" si="5"/>
        <v>0.009535619125042942</v>
      </c>
      <c r="J36" s="120">
        <v>110704.29828</v>
      </c>
      <c r="K36" s="120">
        <v>6003.561750000001</v>
      </c>
      <c r="L36" s="120">
        <f t="shared" si="19"/>
        <v>-104700.73653</v>
      </c>
      <c r="M36" s="138">
        <f t="shared" si="6"/>
        <v>0.05423061112600551</v>
      </c>
      <c r="N36" s="120"/>
      <c r="O36" s="120">
        <f t="shared" si="17"/>
        <v>125430.89528</v>
      </c>
      <c r="P36" s="120">
        <f t="shared" si="18"/>
        <v>6143.98897</v>
      </c>
      <c r="Q36" s="120">
        <f t="shared" si="7"/>
        <v>-119286.90630999999</v>
      </c>
      <c r="R36" s="220">
        <f t="shared" si="8"/>
        <v>0.04898305920789885</v>
      </c>
      <c r="S36" s="49"/>
      <c r="T36" s="47"/>
    </row>
    <row r="37" spans="1:20" s="48" customFormat="1" ht="50.25" customHeight="1">
      <c r="A37" s="143" t="s">
        <v>112</v>
      </c>
      <c r="B37" s="110" t="s">
        <v>122</v>
      </c>
      <c r="C37" s="120">
        <v>165695.25282</v>
      </c>
      <c r="D37" s="120">
        <v>69737.79182000001</v>
      </c>
      <c r="E37" s="120">
        <v>41920.38525</v>
      </c>
      <c r="F37" s="120">
        <f t="shared" si="9"/>
        <v>-27817.406570000014</v>
      </c>
      <c r="G37" s="220">
        <f t="shared" si="4"/>
        <v>0.6011143191657197</v>
      </c>
      <c r="H37" s="120">
        <f t="shared" si="20"/>
        <v>-123774.86757</v>
      </c>
      <c r="I37" s="220">
        <f t="shared" si="5"/>
        <v>0.25299689964889605</v>
      </c>
      <c r="J37" s="120">
        <v>366592.67867</v>
      </c>
      <c r="K37" s="120">
        <v>10450.39516</v>
      </c>
      <c r="L37" s="120">
        <f t="shared" si="19"/>
        <v>-356142.28351</v>
      </c>
      <c r="M37" s="138">
        <f t="shared" si="6"/>
        <v>0.028506829972475403</v>
      </c>
      <c r="N37" s="120"/>
      <c r="O37" s="120">
        <f t="shared" si="17"/>
        <v>532287.93149</v>
      </c>
      <c r="P37" s="120">
        <f t="shared" si="18"/>
        <v>52370.78041</v>
      </c>
      <c r="Q37" s="120">
        <f t="shared" si="7"/>
        <v>-479917.15108</v>
      </c>
      <c r="R37" s="220">
        <f t="shared" si="8"/>
        <v>0.09838806651768674</v>
      </c>
      <c r="S37" s="49"/>
      <c r="T37" s="47"/>
    </row>
    <row r="38" spans="1:20" s="48" customFormat="1" ht="34.5" customHeight="1">
      <c r="A38" s="143" t="s">
        <v>192</v>
      </c>
      <c r="B38" s="110" t="s">
        <v>191</v>
      </c>
      <c r="C38" s="120">
        <v>994.57</v>
      </c>
      <c r="D38" s="120">
        <v>352.77</v>
      </c>
      <c r="E38" s="120">
        <v>99.41702000000001</v>
      </c>
      <c r="F38" s="120">
        <f t="shared" si="9"/>
        <v>-253.35297999999997</v>
      </c>
      <c r="G38" s="220">
        <f t="shared" si="4"/>
        <v>0.28181823851234516</v>
      </c>
      <c r="H38" s="120">
        <f t="shared" si="20"/>
        <v>-895.1529800000001</v>
      </c>
      <c r="I38" s="220">
        <f t="shared" si="5"/>
        <v>0.09995980172335783</v>
      </c>
      <c r="J38" s="120">
        <v>0</v>
      </c>
      <c r="K38" s="120">
        <v>0</v>
      </c>
      <c r="L38" s="120">
        <f t="shared" si="19"/>
        <v>0</v>
      </c>
      <c r="M38" s="138">
        <f t="shared" si="6"/>
      </c>
      <c r="N38" s="120"/>
      <c r="O38" s="120">
        <f>C38+J38</f>
        <v>994.57</v>
      </c>
      <c r="P38" s="120">
        <f>E38+K38</f>
        <v>99.41702000000001</v>
      </c>
      <c r="Q38" s="120">
        <f>P38-O38</f>
        <v>-895.1529800000001</v>
      </c>
      <c r="R38" s="220">
        <f t="shared" si="8"/>
        <v>0.09995980172335783</v>
      </c>
      <c r="S38" s="49"/>
      <c r="T38" s="47"/>
    </row>
    <row r="39" spans="1:20" s="48" customFormat="1" ht="50.25" customHeight="1">
      <c r="A39" s="143" t="s">
        <v>110</v>
      </c>
      <c r="B39" s="110" t="s">
        <v>123</v>
      </c>
      <c r="C39" s="120">
        <v>19893.1455</v>
      </c>
      <c r="D39" s="120">
        <v>6112.8035</v>
      </c>
      <c r="E39" s="120">
        <v>1465.76699</v>
      </c>
      <c r="F39" s="120">
        <f t="shared" si="9"/>
        <v>-4647.03651</v>
      </c>
      <c r="G39" s="220">
        <f t="shared" si="4"/>
        <v>0.2397863746151827</v>
      </c>
      <c r="H39" s="120">
        <f t="shared" si="20"/>
        <v>-18427.37851</v>
      </c>
      <c r="I39" s="220">
        <f t="shared" si="5"/>
        <v>0.07368201222878504</v>
      </c>
      <c r="J39" s="120">
        <v>248153.01035</v>
      </c>
      <c r="K39" s="120">
        <v>49972.90654</v>
      </c>
      <c r="L39" s="120">
        <f t="shared" si="19"/>
        <v>-198180.10381</v>
      </c>
      <c r="M39" s="138">
        <f t="shared" si="6"/>
        <v>0.20137940889581477</v>
      </c>
      <c r="N39" s="120"/>
      <c r="O39" s="120">
        <f>C39+J39</f>
        <v>268046.15585</v>
      </c>
      <c r="P39" s="120">
        <f>E39+K39</f>
        <v>51438.67353</v>
      </c>
      <c r="Q39" s="120">
        <f>P39-O39</f>
        <v>-216607.48231999998</v>
      </c>
      <c r="R39" s="220">
        <f t="shared" si="8"/>
        <v>0.19190229894132615</v>
      </c>
      <c r="S39" s="49"/>
      <c r="T39" s="47"/>
    </row>
    <row r="40" spans="1:20" s="48" customFormat="1" ht="78" customHeight="1">
      <c r="A40" s="143" t="s">
        <v>163</v>
      </c>
      <c r="B40" s="110" t="s">
        <v>164</v>
      </c>
      <c r="C40" s="120">
        <v>150</v>
      </c>
      <c r="D40" s="120">
        <v>150</v>
      </c>
      <c r="E40" s="120">
        <v>0</v>
      </c>
      <c r="F40" s="120">
        <f t="shared" si="9"/>
        <v>-150</v>
      </c>
      <c r="G40" s="220">
        <f t="shared" si="4"/>
        <v>0</v>
      </c>
      <c r="H40" s="120">
        <f t="shared" si="20"/>
        <v>-150</v>
      </c>
      <c r="I40" s="220">
        <f t="shared" si="5"/>
        <v>0</v>
      </c>
      <c r="J40" s="120">
        <v>331203.35299</v>
      </c>
      <c r="K40" s="120">
        <v>59802.14176</v>
      </c>
      <c r="L40" s="120">
        <f t="shared" si="19"/>
        <v>-271401.21123</v>
      </c>
      <c r="M40" s="138">
        <f t="shared" si="6"/>
        <v>0.18056019427377476</v>
      </c>
      <c r="N40" s="120"/>
      <c r="O40" s="120">
        <f>C40+J40</f>
        <v>331353.35299</v>
      </c>
      <c r="P40" s="120">
        <f>E40+K40</f>
        <v>59802.14176</v>
      </c>
      <c r="Q40" s="120">
        <f>P40-O40</f>
        <v>-271551.21123</v>
      </c>
      <c r="R40" s="220">
        <f t="shared" si="8"/>
        <v>0.18047845666980405</v>
      </c>
      <c r="S40" s="49"/>
      <c r="T40" s="47"/>
    </row>
    <row r="41" spans="1:20" s="70" customFormat="1" ht="30.75" customHeight="1">
      <c r="A41" s="67" t="s">
        <v>108</v>
      </c>
      <c r="B41" s="109" t="s">
        <v>124</v>
      </c>
      <c r="C41" s="117">
        <f>C42+C43+C44+C45+C46+C47</f>
        <v>173150.97163</v>
      </c>
      <c r="D41" s="117">
        <f>D42+D43+D44+D45+D46+D47</f>
        <v>90106.83549</v>
      </c>
      <c r="E41" s="117">
        <f>E42+E43+E44+E45+E46+E47</f>
        <v>21685.112780000003</v>
      </c>
      <c r="F41" s="117">
        <f t="shared" si="9"/>
        <v>-68421.72271</v>
      </c>
      <c r="G41" s="137">
        <f t="shared" si="4"/>
        <v>0.24066001943222837</v>
      </c>
      <c r="H41" s="117">
        <f t="shared" si="20"/>
        <v>-151465.85885</v>
      </c>
      <c r="I41" s="137">
        <f t="shared" si="5"/>
        <v>0.12523818131577183</v>
      </c>
      <c r="J41" s="117">
        <f>J42+J43+J44+J45+J46+J47</f>
        <v>46521.502850000004</v>
      </c>
      <c r="K41" s="117">
        <f>K42+K43+K44+K45+K46+K47</f>
        <v>18402.129599999997</v>
      </c>
      <c r="L41" s="118">
        <f t="shared" si="19"/>
        <v>-28119.373250000008</v>
      </c>
      <c r="M41" s="137">
        <f t="shared" si="6"/>
        <v>0.3955618041690155</v>
      </c>
      <c r="N41" s="117"/>
      <c r="O41" s="117">
        <f t="shared" si="17"/>
        <v>219672.47447999998</v>
      </c>
      <c r="P41" s="117">
        <f t="shared" si="18"/>
        <v>40087.242379999996</v>
      </c>
      <c r="Q41" s="117">
        <f t="shared" si="7"/>
        <v>-179585.23209999996</v>
      </c>
      <c r="R41" s="137">
        <f t="shared" si="8"/>
        <v>0.18248641517282918</v>
      </c>
      <c r="S41" s="68"/>
      <c r="T41" s="69"/>
    </row>
    <row r="42" spans="1:20" s="48" customFormat="1" ht="40.5" customHeight="1">
      <c r="A42" s="143" t="s">
        <v>109</v>
      </c>
      <c r="B42" s="110" t="s">
        <v>125</v>
      </c>
      <c r="C42" s="120">
        <v>53343.898</v>
      </c>
      <c r="D42" s="120">
        <v>21712.418</v>
      </c>
      <c r="E42" s="120">
        <v>15179.412370000004</v>
      </c>
      <c r="F42" s="134">
        <f t="shared" si="9"/>
        <v>-6533.005629999998</v>
      </c>
      <c r="G42" s="220">
        <f t="shared" si="4"/>
        <v>0.699112018292942</v>
      </c>
      <c r="H42" s="134">
        <f t="shared" si="20"/>
        <v>-38164.485629999996</v>
      </c>
      <c r="I42" s="220">
        <f t="shared" si="5"/>
        <v>0.28455761463101187</v>
      </c>
      <c r="J42" s="120">
        <v>27493.77138</v>
      </c>
      <c r="K42" s="120">
        <v>16819.043059999996</v>
      </c>
      <c r="L42" s="120">
        <f aca="true" t="shared" si="21" ref="L42:L47">K42-J42</f>
        <v>-10674.728320000002</v>
      </c>
      <c r="M42" s="220">
        <f t="shared" si="6"/>
        <v>0.6117401220639668</v>
      </c>
      <c r="N42" s="134"/>
      <c r="O42" s="134">
        <f t="shared" si="17"/>
        <v>80837.66938</v>
      </c>
      <c r="P42" s="134">
        <f t="shared" si="18"/>
        <v>31998.45543</v>
      </c>
      <c r="Q42" s="134">
        <f t="shared" si="7"/>
        <v>-48839.213950000005</v>
      </c>
      <c r="R42" s="220">
        <f t="shared" si="8"/>
        <v>0.395835947218893</v>
      </c>
      <c r="S42" s="49"/>
      <c r="T42" s="47"/>
    </row>
    <row r="43" spans="1:20" s="48" customFormat="1" ht="33" customHeight="1">
      <c r="A43" s="143" t="s">
        <v>126</v>
      </c>
      <c r="B43" s="110" t="s">
        <v>130</v>
      </c>
      <c r="C43" s="120">
        <v>11148.205</v>
      </c>
      <c r="D43" s="120">
        <v>10104.605</v>
      </c>
      <c r="E43" s="120">
        <v>5548.208079999999</v>
      </c>
      <c r="F43" s="134">
        <f t="shared" si="9"/>
        <v>-4556.39692</v>
      </c>
      <c r="G43" s="220">
        <f t="shared" si="4"/>
        <v>0.5490771860948548</v>
      </c>
      <c r="H43" s="134">
        <f t="shared" si="20"/>
        <v>-5599.9969200000005</v>
      </c>
      <c r="I43" s="220">
        <f t="shared" si="5"/>
        <v>0.4976772565628278</v>
      </c>
      <c r="J43" s="120">
        <v>6849.311</v>
      </c>
      <c r="K43" s="120">
        <v>1463.41678</v>
      </c>
      <c r="L43" s="120">
        <f t="shared" si="21"/>
        <v>-5385.89422</v>
      </c>
      <c r="M43" s="220">
        <f t="shared" si="6"/>
        <v>0.21365897679343224</v>
      </c>
      <c r="N43" s="134"/>
      <c r="O43" s="134">
        <f t="shared" si="17"/>
        <v>17997.516</v>
      </c>
      <c r="P43" s="134">
        <f t="shared" si="18"/>
        <v>7011.62486</v>
      </c>
      <c r="Q43" s="134">
        <f>P43-O43</f>
        <v>-10985.89114</v>
      </c>
      <c r="R43" s="220">
        <f t="shared" si="8"/>
        <v>0.3895884776543608</v>
      </c>
      <c r="S43" s="49"/>
      <c r="T43" s="47"/>
    </row>
    <row r="44" spans="1:20" s="48" customFormat="1" ht="44.25" customHeight="1">
      <c r="A44" s="143" t="s">
        <v>127</v>
      </c>
      <c r="B44" s="110" t="s">
        <v>131</v>
      </c>
      <c r="C44" s="120">
        <v>1821</v>
      </c>
      <c r="D44" s="120">
        <v>1391</v>
      </c>
      <c r="E44" s="120">
        <v>247.73700000000002</v>
      </c>
      <c r="F44" s="134">
        <f t="shared" si="9"/>
        <v>-1143.263</v>
      </c>
      <c r="G44" s="220">
        <f t="shared" si="4"/>
        <v>0.17809992810927391</v>
      </c>
      <c r="H44" s="134">
        <f t="shared" si="20"/>
        <v>-1573.263</v>
      </c>
      <c r="I44" s="220">
        <f t="shared" si="5"/>
        <v>0.13604448105436576</v>
      </c>
      <c r="J44" s="120">
        <v>12178.420470000001</v>
      </c>
      <c r="K44" s="120">
        <v>119.66976</v>
      </c>
      <c r="L44" s="120">
        <f t="shared" si="21"/>
        <v>-12058.75071</v>
      </c>
      <c r="M44" s="220">
        <f t="shared" si="6"/>
        <v>0.009826377755209826</v>
      </c>
      <c r="N44" s="134"/>
      <c r="O44" s="134">
        <f t="shared" si="17"/>
        <v>13999.420470000001</v>
      </c>
      <c r="P44" s="134">
        <f t="shared" si="18"/>
        <v>367.40676</v>
      </c>
      <c r="Q44" s="134">
        <f>P44-O44</f>
        <v>-13632.013710000001</v>
      </c>
      <c r="R44" s="220">
        <f t="shared" si="8"/>
        <v>0.02624442638803033</v>
      </c>
      <c r="S44" s="49"/>
      <c r="T44" s="47"/>
    </row>
    <row r="45" spans="1:20" s="48" customFormat="1" ht="24.75" customHeight="1">
      <c r="A45" s="143" t="s">
        <v>128</v>
      </c>
      <c r="B45" s="110" t="s">
        <v>42</v>
      </c>
      <c r="C45" s="120">
        <v>3039.9983700000003</v>
      </c>
      <c r="D45" s="120">
        <v>1559.99837</v>
      </c>
      <c r="E45" s="120">
        <v>709.7553300000001</v>
      </c>
      <c r="F45" s="134">
        <f t="shared" si="9"/>
        <v>-850.24304</v>
      </c>
      <c r="G45" s="220">
        <f t="shared" si="4"/>
        <v>0.4549718407718593</v>
      </c>
      <c r="H45" s="134">
        <f aca="true" t="shared" si="22" ref="H45:H60">E45-C45</f>
        <v>-2330.2430400000003</v>
      </c>
      <c r="I45" s="220">
        <f t="shared" si="5"/>
        <v>0.2334722732104623</v>
      </c>
      <c r="J45" s="120"/>
      <c r="K45" s="120"/>
      <c r="L45" s="120">
        <f t="shared" si="21"/>
        <v>0</v>
      </c>
      <c r="M45" s="220">
        <f t="shared" si="6"/>
      </c>
      <c r="N45" s="134"/>
      <c r="O45" s="134">
        <f t="shared" si="17"/>
        <v>3039.9983700000003</v>
      </c>
      <c r="P45" s="134">
        <f t="shared" si="18"/>
        <v>709.7553300000001</v>
      </c>
      <c r="Q45" s="134">
        <f>P45-O45</f>
        <v>-2330.2430400000003</v>
      </c>
      <c r="R45" s="220">
        <f t="shared" si="8"/>
        <v>0.2334722732104623</v>
      </c>
      <c r="S45" s="49"/>
      <c r="T45" s="47"/>
    </row>
    <row r="46" spans="1:20" s="48" customFormat="1" ht="25.5" customHeight="1">
      <c r="A46" s="143" t="s">
        <v>165</v>
      </c>
      <c r="B46" s="110" t="s">
        <v>166</v>
      </c>
      <c r="C46" s="120">
        <v>8655</v>
      </c>
      <c r="D46" s="120">
        <v>0</v>
      </c>
      <c r="E46" s="120">
        <v>0</v>
      </c>
      <c r="F46" s="134">
        <f>E46-D46</f>
        <v>0</v>
      </c>
      <c r="G46" s="220">
        <f t="shared" si="4"/>
      </c>
      <c r="H46" s="134">
        <f t="shared" si="22"/>
        <v>-8655</v>
      </c>
      <c r="I46" s="220">
        <f t="shared" si="5"/>
        <v>0</v>
      </c>
      <c r="J46" s="120">
        <v>0</v>
      </c>
      <c r="K46" s="245">
        <v>0</v>
      </c>
      <c r="L46" s="120">
        <f t="shared" si="21"/>
        <v>0</v>
      </c>
      <c r="M46" s="220">
        <f t="shared" si="6"/>
      </c>
      <c r="N46" s="134"/>
      <c r="O46" s="134">
        <f t="shared" si="17"/>
        <v>8655</v>
      </c>
      <c r="P46" s="134">
        <f t="shared" si="18"/>
        <v>0</v>
      </c>
      <c r="Q46" s="134">
        <f>P46-O46</f>
        <v>-8655</v>
      </c>
      <c r="R46" s="220">
        <f t="shared" si="8"/>
        <v>0</v>
      </c>
      <c r="S46" s="49"/>
      <c r="T46" s="47"/>
    </row>
    <row r="47" spans="1:20" s="48" customFormat="1" ht="24.75" customHeight="1">
      <c r="A47" s="143" t="s">
        <v>129</v>
      </c>
      <c r="B47" s="110" t="s">
        <v>54</v>
      </c>
      <c r="C47" s="120">
        <v>95142.87026</v>
      </c>
      <c r="D47" s="120">
        <v>55338.81412</v>
      </c>
      <c r="E47" s="120">
        <v>0</v>
      </c>
      <c r="F47" s="134">
        <f>E47-D47</f>
        <v>-55338.81412</v>
      </c>
      <c r="G47" s="220">
        <f t="shared" si="4"/>
        <v>0</v>
      </c>
      <c r="H47" s="134">
        <f t="shared" si="22"/>
        <v>-95142.87026</v>
      </c>
      <c r="I47" s="220">
        <f t="shared" si="5"/>
        <v>0</v>
      </c>
      <c r="J47" s="120">
        <v>0</v>
      </c>
      <c r="K47" s="245">
        <v>0</v>
      </c>
      <c r="L47" s="120">
        <f t="shared" si="21"/>
        <v>0</v>
      </c>
      <c r="M47" s="220">
        <f t="shared" si="6"/>
      </c>
      <c r="N47" s="134"/>
      <c r="O47" s="134">
        <f t="shared" si="17"/>
        <v>95142.87026</v>
      </c>
      <c r="P47" s="134">
        <f t="shared" si="18"/>
        <v>0</v>
      </c>
      <c r="Q47" s="134">
        <f>P47-O47</f>
        <v>-95142.87026</v>
      </c>
      <c r="R47" s="220">
        <f t="shared" si="8"/>
        <v>0</v>
      </c>
      <c r="S47" s="47"/>
      <c r="T47" s="47"/>
    </row>
    <row r="48" spans="1:20" s="12" customFormat="1" ht="20.25" customHeight="1">
      <c r="A48" s="60" t="s">
        <v>26</v>
      </c>
      <c r="B48" s="111" t="s">
        <v>27</v>
      </c>
      <c r="C48" s="121">
        <f>C6+C10+C11+C12+C30+C31+C32+C33+C41</f>
        <v>9465695.038939998</v>
      </c>
      <c r="D48" s="121">
        <f>D6+D10+D11+D12+D30+D31+D32+D33+D41</f>
        <v>3458606.791690001</v>
      </c>
      <c r="E48" s="121">
        <f>E6+E10+E11+E12+E30+E31+E32+E33+E41</f>
        <v>2604924.8208700004</v>
      </c>
      <c r="F48" s="121">
        <f t="shared" si="9"/>
        <v>-853681.9708200004</v>
      </c>
      <c r="G48" s="141">
        <f>_xlfn.IFERROR(E48/D48,"")</f>
        <v>0.7531717184875878</v>
      </c>
      <c r="H48" s="121">
        <f t="shared" si="22"/>
        <v>-6860770.218069997</v>
      </c>
      <c r="I48" s="141">
        <f>_xlfn.IFERROR(E48/C48,"")</f>
        <v>0.2751963601356113</v>
      </c>
      <c r="J48" s="121">
        <f>J6+J10+J11+J12+J30+J31+J32+J33+J41</f>
        <v>1997890.59893</v>
      </c>
      <c r="K48" s="121">
        <f>K6+K10+K11+K12+K30+K31+K32+K33+K41</f>
        <v>335261.5599</v>
      </c>
      <c r="L48" s="121">
        <f>L6+L10+L11+L12+L30+L31+L32+L33+L41</f>
        <v>-1662629.03903</v>
      </c>
      <c r="M48" s="141">
        <f>_xlfn.IFERROR(K48/J48,"")</f>
        <v>0.16780776689151763</v>
      </c>
      <c r="N48" s="121" t="e">
        <f>#REF!+#REF!</f>
        <v>#REF!</v>
      </c>
      <c r="O48" s="121">
        <f aca="true" t="shared" si="23" ref="O48:O66">C48+J48</f>
        <v>11463585.637869997</v>
      </c>
      <c r="P48" s="121">
        <f>E48+K48</f>
        <v>2940186.3807700006</v>
      </c>
      <c r="Q48" s="121">
        <f t="shared" si="7"/>
        <v>-8523399.257099997</v>
      </c>
      <c r="R48" s="141">
        <f>_xlfn.IFERROR(P48/O48,"")</f>
        <v>0.25648051784575016</v>
      </c>
      <c r="S48" s="26"/>
      <c r="T48" s="27"/>
    </row>
    <row r="49" spans="1:20" s="48" customFormat="1" ht="24" customHeight="1">
      <c r="A49" s="61" t="s">
        <v>145</v>
      </c>
      <c r="B49" s="105" t="s">
        <v>113</v>
      </c>
      <c r="C49" s="120">
        <v>88437</v>
      </c>
      <c r="D49" s="120">
        <v>29479.2</v>
      </c>
      <c r="E49" s="120">
        <v>29479.2</v>
      </c>
      <c r="F49" s="120">
        <f t="shared" si="9"/>
        <v>0</v>
      </c>
      <c r="G49" s="221">
        <f>_xlfn.IFERROR(E49/D49,"")</f>
        <v>1</v>
      </c>
      <c r="H49" s="120">
        <f t="shared" si="22"/>
        <v>-58957.8</v>
      </c>
      <c r="I49" s="221">
        <f>_xlfn.IFERROR(E49/C49,"")</f>
        <v>0.33333559483021813</v>
      </c>
      <c r="J49" s="245">
        <v>0</v>
      </c>
      <c r="K49" s="245">
        <v>0</v>
      </c>
      <c r="L49" s="120">
        <f>K49-J49</f>
        <v>0</v>
      </c>
      <c r="M49" s="160">
        <f>_xlfn.IFERROR(K49/J49,"")</f>
      </c>
      <c r="N49" s="120" t="e">
        <f>#REF!+#REF!</f>
        <v>#REF!</v>
      </c>
      <c r="O49" s="120">
        <f>C49+J49</f>
        <v>88437</v>
      </c>
      <c r="P49" s="120">
        <f>E49+K49</f>
        <v>29479.2</v>
      </c>
      <c r="Q49" s="120">
        <f t="shared" si="7"/>
        <v>-58957.8</v>
      </c>
      <c r="R49" s="221">
        <f>_xlfn.IFERROR(P49/O49,"")</f>
        <v>0.33333559483021813</v>
      </c>
      <c r="S49" s="47"/>
      <c r="T49" s="47"/>
    </row>
    <row r="50" spans="1:20" s="230" customFormat="1" ht="90.75" customHeight="1">
      <c r="A50" s="233" t="s">
        <v>146</v>
      </c>
      <c r="B50" s="105" t="s">
        <v>147</v>
      </c>
      <c r="C50" s="120">
        <v>282761.624</v>
      </c>
      <c r="D50" s="120">
        <v>251994.624</v>
      </c>
      <c r="E50" s="120">
        <v>213756.484</v>
      </c>
      <c r="F50" s="120">
        <f t="shared" si="9"/>
        <v>-38238.140000000014</v>
      </c>
      <c r="G50" s="222">
        <f>_xlfn.IFERROR(E50/D50,"")</f>
        <v>0.8482581120460728</v>
      </c>
      <c r="H50" s="120">
        <f t="shared" si="22"/>
        <v>-69005.14000000001</v>
      </c>
      <c r="I50" s="222">
        <f>_xlfn.IFERROR(E50/C50,"")</f>
        <v>0.7559600237689963</v>
      </c>
      <c r="J50" s="120">
        <v>1980</v>
      </c>
      <c r="K50" s="120">
        <v>1980</v>
      </c>
      <c r="L50" s="120">
        <f>K50-J50</f>
        <v>0</v>
      </c>
      <c r="M50" s="222">
        <f>_xlfn.IFERROR(K50/J50,"")</f>
        <v>1</v>
      </c>
      <c r="N50" s="120"/>
      <c r="O50" s="120">
        <f>C50+J50</f>
        <v>284741.624</v>
      </c>
      <c r="P50" s="120">
        <f>E50+K50</f>
        <v>215736.484</v>
      </c>
      <c r="Q50" s="120">
        <f t="shared" si="7"/>
        <v>-69005.14000000001</v>
      </c>
      <c r="R50" s="222">
        <f>_xlfn.IFERROR(P50/O50,"")</f>
        <v>0.7576569978402595</v>
      </c>
      <c r="S50" s="229"/>
      <c r="T50" s="229"/>
    </row>
    <row r="51" spans="1:18" s="26" customFormat="1" ht="20.25">
      <c r="A51" s="62" t="s">
        <v>28</v>
      </c>
      <c r="B51" s="112" t="s">
        <v>114</v>
      </c>
      <c r="C51" s="122">
        <f>C48+C49+C50</f>
        <v>9836893.662939997</v>
      </c>
      <c r="D51" s="122">
        <f>D48+D49+D50</f>
        <v>3740080.615690001</v>
      </c>
      <c r="E51" s="122">
        <f>E48+E49+E50</f>
        <v>2848160.5048700008</v>
      </c>
      <c r="F51" s="122">
        <f t="shared" si="9"/>
        <v>-891920.1108200001</v>
      </c>
      <c r="G51" s="142">
        <f>_xlfn.IFERROR(E51/D51,"")</f>
        <v>0.7615238272997891</v>
      </c>
      <c r="H51" s="122">
        <f t="shared" si="22"/>
        <v>-6988733.158069996</v>
      </c>
      <c r="I51" s="142">
        <f>_xlfn.IFERROR(E51/C51,"")</f>
        <v>0.28953860867687353</v>
      </c>
      <c r="J51" s="122">
        <f>J48+J49+J50</f>
        <v>1999870.59893</v>
      </c>
      <c r="K51" s="122">
        <f>K48+K49+K50</f>
        <v>337241.5599</v>
      </c>
      <c r="L51" s="122">
        <f>L48+L49+L50</f>
        <v>-1662629.03903</v>
      </c>
      <c r="M51" s="142">
        <f>_xlfn.IFERROR(K51/J51,"")</f>
        <v>0.16863169051059398</v>
      </c>
      <c r="N51" s="122" t="e">
        <f>#REF!+#REF!</f>
        <v>#REF!</v>
      </c>
      <c r="O51" s="122">
        <f t="shared" si="23"/>
        <v>11836764.261869997</v>
      </c>
      <c r="P51" s="122">
        <f>E51+K51</f>
        <v>3185402.064770001</v>
      </c>
      <c r="Q51" s="122">
        <f t="shared" si="7"/>
        <v>-8651362.197099995</v>
      </c>
      <c r="R51" s="142">
        <f>_xlfn.IFERROR(P51/O51,"")</f>
        <v>0.269110881512712</v>
      </c>
    </row>
    <row r="52" spans="1:18" ht="40.5" customHeight="1" hidden="1">
      <c r="A52" s="63">
        <v>9100</v>
      </c>
      <c r="B52" s="275" t="s">
        <v>237</v>
      </c>
      <c r="C52" s="119"/>
      <c r="D52" s="120"/>
      <c r="E52" s="119"/>
      <c r="F52" s="123">
        <f aca="true" t="shared" si="24" ref="F52:F66">E52-D52</f>
        <v>0</v>
      </c>
      <c r="G52" s="277">
        <f>_xlfn.IFERROR(E52/D52,"")</f>
      </c>
      <c r="H52" s="123">
        <f t="shared" si="22"/>
        <v>0</v>
      </c>
      <c r="I52" s="277">
        <f aca="true" t="shared" si="25" ref="I52:I66">_xlfn.IFERROR(E52/C52,"")</f>
      </c>
      <c r="J52" s="120"/>
      <c r="K52" s="120"/>
      <c r="L52" s="120">
        <f aca="true" t="shared" si="26" ref="L52:L57">K52-J52</f>
        <v>0</v>
      </c>
      <c r="M52" s="277">
        <f aca="true" t="shared" si="27" ref="M52:M66">_xlfn.IFERROR(K52/J52,"")</f>
      </c>
      <c r="N52" s="123"/>
      <c r="O52" s="123">
        <f>C52+J52</f>
        <v>0</v>
      </c>
      <c r="P52" s="123">
        <f>E52+K52</f>
        <v>0</v>
      </c>
      <c r="Q52" s="123">
        <f aca="true" t="shared" si="28" ref="Q52:Q66">P52-O52</f>
        <v>0</v>
      </c>
      <c r="R52" s="277">
        <f>_xlfn.IFERROR(P52/O52,"")</f>
      </c>
    </row>
    <row r="53" spans="1:18" ht="79.5" customHeight="1" hidden="1">
      <c r="A53" s="63">
        <v>9200</v>
      </c>
      <c r="B53" s="275" t="s">
        <v>238</v>
      </c>
      <c r="C53" s="119"/>
      <c r="D53" s="120"/>
      <c r="E53" s="119"/>
      <c r="F53" s="123">
        <f t="shared" si="24"/>
        <v>0</v>
      </c>
      <c r="G53" s="277">
        <f>_xlfn.IFERROR(E53/D53,"")</f>
      </c>
      <c r="H53" s="123">
        <f t="shared" si="22"/>
        <v>0</v>
      </c>
      <c r="I53" s="277">
        <f t="shared" si="25"/>
      </c>
      <c r="J53" s="120"/>
      <c r="K53" s="120"/>
      <c r="L53" s="120">
        <f t="shared" si="26"/>
        <v>0</v>
      </c>
      <c r="M53" s="277">
        <f t="shared" si="27"/>
      </c>
      <c r="N53" s="123"/>
      <c r="O53" s="123">
        <f>C53+J53</f>
        <v>0</v>
      </c>
      <c r="P53" s="123">
        <f>E53+K53</f>
        <v>0</v>
      </c>
      <c r="Q53" s="123">
        <f t="shared" si="28"/>
        <v>0</v>
      </c>
      <c r="R53" s="277">
        <f>_xlfn.IFERROR(P53/O53,"")</f>
      </c>
    </row>
    <row r="54" spans="1:18" ht="89.25" customHeight="1" hidden="1">
      <c r="A54" s="63">
        <v>9300</v>
      </c>
      <c r="B54" s="275" t="s">
        <v>239</v>
      </c>
      <c r="C54" s="119"/>
      <c r="D54" s="120"/>
      <c r="E54" s="119"/>
      <c r="F54" s="123">
        <f t="shared" si="24"/>
        <v>0</v>
      </c>
      <c r="G54" s="277">
        <f>_xlfn.IFERROR(E54/D54,"")</f>
      </c>
      <c r="H54" s="123">
        <f t="shared" si="22"/>
        <v>0</v>
      </c>
      <c r="I54" s="277">
        <f t="shared" si="25"/>
      </c>
      <c r="J54" s="120"/>
      <c r="K54" s="120"/>
      <c r="L54" s="120">
        <f t="shared" si="26"/>
        <v>0</v>
      </c>
      <c r="M54" s="277">
        <f t="shared" si="27"/>
      </c>
      <c r="N54" s="123"/>
      <c r="O54" s="123">
        <f>C54+J54</f>
        <v>0</v>
      </c>
      <c r="P54" s="123">
        <f>E54+K54</f>
        <v>0</v>
      </c>
      <c r="Q54" s="123">
        <f t="shared" si="28"/>
        <v>0</v>
      </c>
      <c r="R54" s="277">
        <f>_xlfn.IFERROR(P54/O54,"")</f>
      </c>
    </row>
    <row r="55" spans="1:18" ht="85.5" customHeight="1" hidden="1">
      <c r="A55" s="63">
        <v>9700</v>
      </c>
      <c r="B55" s="275" t="s">
        <v>240</v>
      </c>
      <c r="C55" s="119"/>
      <c r="D55" s="120"/>
      <c r="E55" s="119"/>
      <c r="F55" s="123">
        <f t="shared" si="24"/>
        <v>0</v>
      </c>
      <c r="G55" s="277">
        <f>_xlfn.IFERROR(E55/D55,"")</f>
      </c>
      <c r="H55" s="123">
        <f t="shared" si="22"/>
        <v>0</v>
      </c>
      <c r="I55" s="277">
        <f t="shared" si="25"/>
      </c>
      <c r="J55" s="120">
        <v>6965.0738</v>
      </c>
      <c r="K55" s="120">
        <v>6965.0738</v>
      </c>
      <c r="L55" s="120">
        <f t="shared" si="26"/>
        <v>0</v>
      </c>
      <c r="M55" s="277">
        <f t="shared" si="27"/>
        <v>1</v>
      </c>
      <c r="N55" s="123"/>
      <c r="O55" s="123">
        <f>C55+J55</f>
        <v>6965.0738</v>
      </c>
      <c r="P55" s="123">
        <f>E55+K55</f>
        <v>6965.0738</v>
      </c>
      <c r="Q55" s="123">
        <f t="shared" si="28"/>
        <v>0</v>
      </c>
      <c r="R55" s="277">
        <f>_xlfn.IFERROR(P55/O55,"")</f>
        <v>1</v>
      </c>
    </row>
    <row r="56" spans="1:18" ht="19.5" customHeight="1" hidden="1">
      <c r="A56" s="112">
        <v>900203</v>
      </c>
      <c r="B56" s="112" t="s">
        <v>241</v>
      </c>
      <c r="C56" s="276">
        <f>C51+C52+C53+C54+C55</f>
        <v>9836893.662939997</v>
      </c>
      <c r="D56" s="276">
        <f>D51+D52+D53+D54+D55</f>
        <v>3740080.615690001</v>
      </c>
      <c r="E56" s="276">
        <f>E51+E52+E53+E54+E55</f>
        <v>2848160.5048700008</v>
      </c>
      <c r="F56" s="276">
        <f t="shared" si="24"/>
        <v>-891920.1108200001</v>
      </c>
      <c r="G56" s="276">
        <f>_xlfn.IFERROR(E56/D56,"")</f>
        <v>0.7615238272997891</v>
      </c>
      <c r="H56" s="276">
        <f t="shared" si="22"/>
        <v>-6988733.158069996</v>
      </c>
      <c r="I56" s="276"/>
      <c r="J56" s="276">
        <f>J51+J52+J53+J54+J55</f>
        <v>2006835.67273</v>
      </c>
      <c r="K56" s="276">
        <f>K51+K52+K53+K54+K55</f>
        <v>344206.6337</v>
      </c>
      <c r="L56" s="276">
        <f t="shared" si="26"/>
        <v>-1662629.03903</v>
      </c>
      <c r="M56" s="276">
        <f t="shared" si="27"/>
        <v>0.1715170994702114</v>
      </c>
      <c r="N56" s="276"/>
      <c r="O56" s="276">
        <f>C56+J56</f>
        <v>11843729.335669998</v>
      </c>
      <c r="P56" s="276">
        <f>E56+K56</f>
        <v>3192367.138570001</v>
      </c>
      <c r="Q56" s="276">
        <f t="shared" si="28"/>
        <v>-8651362.197099997</v>
      </c>
      <c r="R56" s="276">
        <f>_xlfn.IFERROR(P56/O56,"")</f>
        <v>0.26954070361566645</v>
      </c>
    </row>
    <row r="57" spans="1:18" s="163" customFormat="1" ht="21" customHeight="1">
      <c r="A57" s="170"/>
      <c r="B57" s="171" t="s">
        <v>0</v>
      </c>
      <c r="C57" s="169">
        <f>SUM(C58:C60)</f>
        <v>1000</v>
      </c>
      <c r="D57" s="274">
        <f>SUM(D58:D64)+D65</f>
        <v>1000</v>
      </c>
      <c r="E57" s="169">
        <f>SUM(E58:E64)+E65</f>
        <v>-21.76968</v>
      </c>
      <c r="F57" s="169">
        <f t="shared" si="24"/>
        <v>-1021.76968</v>
      </c>
      <c r="G57" s="223">
        <f aca="true" t="shared" si="29" ref="G57:G66">_xlfn.IFERROR(E57/D57,"")</f>
        <v>-0.02176968</v>
      </c>
      <c r="H57" s="169">
        <f t="shared" si="22"/>
        <v>-1021.76968</v>
      </c>
      <c r="I57" s="223">
        <f t="shared" si="25"/>
        <v>-0.02176968</v>
      </c>
      <c r="J57" s="274">
        <f>SUM(J58:J64)+J65</f>
        <v>30231.15</v>
      </c>
      <c r="K57" s="274">
        <f>SUM(K58:K64)+K65</f>
        <v>-1422.45468</v>
      </c>
      <c r="L57" s="118">
        <f t="shared" si="26"/>
        <v>-31653.60468</v>
      </c>
      <c r="M57" s="223">
        <f t="shared" si="27"/>
        <v>-0.04705261559682645</v>
      </c>
      <c r="N57" s="169"/>
      <c r="O57" s="169">
        <f t="shared" si="23"/>
        <v>31231.15</v>
      </c>
      <c r="P57" s="169">
        <f aca="true" t="shared" si="30" ref="P57:P66">E57+K57</f>
        <v>-1444.2243600000002</v>
      </c>
      <c r="Q57" s="169">
        <f t="shared" si="28"/>
        <v>-32675.37436</v>
      </c>
      <c r="R57" s="223">
        <f aca="true" t="shared" si="31" ref="R57:R66">_xlfn.IFERROR(P57/O57,"")</f>
        <v>-0.0462430733418398</v>
      </c>
    </row>
    <row r="58" spans="1:18" s="235" customFormat="1" ht="44.25" customHeight="1">
      <c r="A58" s="234">
        <v>1140</v>
      </c>
      <c r="B58" s="172" t="s">
        <v>148</v>
      </c>
      <c r="C58" s="261">
        <v>0</v>
      </c>
      <c r="D58" s="125">
        <v>0</v>
      </c>
      <c r="E58" s="125">
        <v>-21.76968</v>
      </c>
      <c r="F58" s="124">
        <f t="shared" si="24"/>
        <v>-21.76968</v>
      </c>
      <c r="G58" s="226">
        <f t="shared" si="29"/>
      </c>
      <c r="H58" s="124">
        <f t="shared" si="22"/>
        <v>-21.76968</v>
      </c>
      <c r="I58" s="226">
        <f t="shared" si="25"/>
      </c>
      <c r="J58" s="125">
        <v>0</v>
      </c>
      <c r="K58" s="125">
        <v>0</v>
      </c>
      <c r="L58" s="125"/>
      <c r="M58" s="226">
        <f t="shared" si="27"/>
      </c>
      <c r="N58" s="124"/>
      <c r="O58" s="225">
        <f t="shared" si="23"/>
        <v>0</v>
      </c>
      <c r="P58" s="225">
        <f t="shared" si="30"/>
        <v>-21.76968</v>
      </c>
      <c r="Q58" s="225">
        <f t="shared" si="28"/>
        <v>-21.76968</v>
      </c>
      <c r="R58" s="226">
        <f t="shared" si="31"/>
      </c>
    </row>
    <row r="59" spans="1:18" s="235" customFormat="1" ht="87" customHeight="1">
      <c r="A59" s="234">
        <v>8820</v>
      </c>
      <c r="B59" s="172" t="s">
        <v>152</v>
      </c>
      <c r="C59" s="124">
        <v>1000</v>
      </c>
      <c r="D59" s="125">
        <v>1000</v>
      </c>
      <c r="E59" s="239">
        <v>0</v>
      </c>
      <c r="F59" s="124">
        <f t="shared" si="24"/>
        <v>-1000</v>
      </c>
      <c r="G59" s="226">
        <f t="shared" si="29"/>
        <v>0</v>
      </c>
      <c r="H59" s="124">
        <f t="shared" si="22"/>
        <v>-1000</v>
      </c>
      <c r="I59" s="226">
        <f t="shared" si="25"/>
        <v>0</v>
      </c>
      <c r="J59" s="124">
        <v>-38.85</v>
      </c>
      <c r="K59" s="124">
        <v>-742.45468</v>
      </c>
      <c r="L59" s="120">
        <f aca="true" t="shared" si="32" ref="L59:L65">K59-J59</f>
        <v>-703.60468</v>
      </c>
      <c r="M59" s="226">
        <f t="shared" si="27"/>
        <v>19.110802574002573</v>
      </c>
      <c r="N59" s="124"/>
      <c r="O59" s="225">
        <f t="shared" si="23"/>
        <v>961.15</v>
      </c>
      <c r="P59" s="225">
        <f t="shared" si="30"/>
        <v>-742.45468</v>
      </c>
      <c r="Q59" s="225">
        <f t="shared" si="28"/>
        <v>-1703.60468</v>
      </c>
      <c r="R59" s="226">
        <f t="shared" si="31"/>
        <v>-0.772464943036987</v>
      </c>
    </row>
    <row r="60" spans="1:18" s="235" customFormat="1" ht="60.75">
      <c r="A60" s="234" t="s">
        <v>149</v>
      </c>
      <c r="B60" s="172" t="s">
        <v>150</v>
      </c>
      <c r="C60" s="253"/>
      <c r="D60" s="125">
        <v>0</v>
      </c>
      <c r="E60" s="239">
        <v>0</v>
      </c>
      <c r="F60" s="124">
        <f t="shared" si="24"/>
        <v>0</v>
      </c>
      <c r="G60" s="226">
        <f t="shared" si="29"/>
      </c>
      <c r="H60" s="124">
        <f t="shared" si="22"/>
        <v>0</v>
      </c>
      <c r="I60" s="226">
        <f t="shared" si="25"/>
      </c>
      <c r="J60" s="124">
        <v>1000</v>
      </c>
      <c r="K60" s="124">
        <v>-680</v>
      </c>
      <c r="L60" s="120">
        <f t="shared" si="32"/>
        <v>-1680</v>
      </c>
      <c r="M60" s="226">
        <f t="shared" si="27"/>
        <v>-0.68</v>
      </c>
      <c r="N60" s="124"/>
      <c r="O60" s="225">
        <f t="shared" si="23"/>
        <v>1000</v>
      </c>
      <c r="P60" s="225">
        <f t="shared" si="30"/>
        <v>-680</v>
      </c>
      <c r="Q60" s="225">
        <f t="shared" si="28"/>
        <v>-1680</v>
      </c>
      <c r="R60" s="226">
        <f t="shared" si="31"/>
        <v>-0.68</v>
      </c>
    </row>
    <row r="61" spans="1:18" s="235" customFormat="1" ht="131.25" customHeight="1">
      <c r="A61" s="234">
        <v>8880</v>
      </c>
      <c r="B61" s="172" t="s">
        <v>151</v>
      </c>
      <c r="C61" s="253">
        <v>0</v>
      </c>
      <c r="D61" s="125">
        <v>0</v>
      </c>
      <c r="E61" s="253">
        <v>0</v>
      </c>
      <c r="F61" s="124"/>
      <c r="G61" s="226">
        <f t="shared" si="29"/>
      </c>
      <c r="H61" s="124"/>
      <c r="I61" s="226">
        <f t="shared" si="25"/>
      </c>
      <c r="J61" s="124">
        <v>29270</v>
      </c>
      <c r="K61" s="125">
        <v>0</v>
      </c>
      <c r="L61" s="120">
        <f t="shared" si="32"/>
        <v>-29270</v>
      </c>
      <c r="M61" s="226">
        <f t="shared" si="27"/>
        <v>0</v>
      </c>
      <c r="N61" s="124"/>
      <c r="O61" s="225">
        <f>C61+J61</f>
        <v>29270</v>
      </c>
      <c r="P61" s="225">
        <f t="shared" si="30"/>
        <v>0</v>
      </c>
      <c r="Q61" s="225">
        <f t="shared" si="28"/>
        <v>-29270</v>
      </c>
      <c r="R61" s="226">
        <f t="shared" si="31"/>
        <v>0</v>
      </c>
    </row>
    <row r="62" spans="1:18" s="1" customFormat="1" ht="60.75" hidden="1">
      <c r="A62" s="64">
        <v>8103</v>
      </c>
      <c r="B62" s="113" t="s">
        <v>1</v>
      </c>
      <c r="C62" s="253"/>
      <c r="D62" s="125"/>
      <c r="E62" s="253"/>
      <c r="F62" s="125">
        <f t="shared" si="24"/>
        <v>0</v>
      </c>
      <c r="G62" s="142">
        <f t="shared" si="29"/>
      </c>
      <c r="H62" s="125">
        <f>E62-C62</f>
        <v>0</v>
      </c>
      <c r="I62" s="142">
        <f t="shared" si="25"/>
      </c>
      <c r="J62" s="125"/>
      <c r="K62" s="125"/>
      <c r="L62" s="120">
        <f t="shared" si="32"/>
        <v>0</v>
      </c>
      <c r="M62" s="142">
        <f t="shared" si="27"/>
      </c>
      <c r="N62" s="125"/>
      <c r="O62" s="125">
        <f t="shared" si="23"/>
        <v>0</v>
      </c>
      <c r="P62" s="125">
        <f t="shared" si="30"/>
        <v>0</v>
      </c>
      <c r="Q62" s="125">
        <f t="shared" si="28"/>
        <v>0</v>
      </c>
      <c r="R62" s="142">
        <f t="shared" si="31"/>
      </c>
    </row>
    <row r="63" spans="1:18" s="1" customFormat="1" ht="60.75" hidden="1">
      <c r="A63" s="64">
        <v>8104</v>
      </c>
      <c r="B63" s="113" t="s">
        <v>2</v>
      </c>
      <c r="C63" s="253"/>
      <c r="D63" s="125"/>
      <c r="E63" s="253"/>
      <c r="F63" s="125">
        <f t="shared" si="24"/>
        <v>0</v>
      </c>
      <c r="G63" s="142">
        <f t="shared" si="29"/>
      </c>
      <c r="H63" s="125">
        <f>E63-C63</f>
        <v>0</v>
      </c>
      <c r="I63" s="142">
        <f t="shared" si="25"/>
      </c>
      <c r="J63" s="125"/>
      <c r="K63" s="125"/>
      <c r="L63" s="120">
        <f t="shared" si="32"/>
        <v>0</v>
      </c>
      <c r="M63" s="142">
        <f t="shared" si="27"/>
      </c>
      <c r="N63" s="125"/>
      <c r="O63" s="125">
        <f t="shared" si="23"/>
        <v>0</v>
      </c>
      <c r="P63" s="125">
        <f t="shared" si="30"/>
        <v>0</v>
      </c>
      <c r="Q63" s="125">
        <f t="shared" si="28"/>
        <v>0</v>
      </c>
      <c r="R63" s="142">
        <f t="shared" si="31"/>
      </c>
    </row>
    <row r="64" spans="1:18" s="1" customFormat="1" ht="40.5" hidden="1">
      <c r="A64" s="64">
        <v>8106</v>
      </c>
      <c r="B64" s="113" t="s">
        <v>3</v>
      </c>
      <c r="C64" s="253"/>
      <c r="D64" s="125"/>
      <c r="E64" s="253"/>
      <c r="F64" s="125">
        <f t="shared" si="24"/>
        <v>0</v>
      </c>
      <c r="G64" s="142">
        <f t="shared" si="29"/>
      </c>
      <c r="H64" s="125">
        <f>E64-C64</f>
        <v>0</v>
      </c>
      <c r="I64" s="142">
        <f t="shared" si="25"/>
      </c>
      <c r="J64" s="125"/>
      <c r="K64" s="125"/>
      <c r="L64" s="120">
        <f t="shared" si="32"/>
        <v>0</v>
      </c>
      <c r="M64" s="142">
        <f t="shared" si="27"/>
      </c>
      <c r="N64" s="125"/>
      <c r="O64" s="125">
        <f t="shared" si="23"/>
        <v>0</v>
      </c>
      <c r="P64" s="125">
        <f t="shared" si="30"/>
        <v>0</v>
      </c>
      <c r="Q64" s="125">
        <f t="shared" si="28"/>
        <v>0</v>
      </c>
      <c r="R64" s="142">
        <f t="shared" si="31"/>
      </c>
    </row>
    <row r="65" spans="1:18" s="1" customFormat="1" ht="60.75" hidden="1">
      <c r="A65" s="64">
        <v>8107</v>
      </c>
      <c r="B65" s="113" t="s">
        <v>92</v>
      </c>
      <c r="C65" s="253"/>
      <c r="D65" s="125"/>
      <c r="E65" s="253"/>
      <c r="F65" s="125">
        <f t="shared" si="24"/>
        <v>0</v>
      </c>
      <c r="G65" s="142">
        <f t="shared" si="29"/>
      </c>
      <c r="H65" s="125">
        <f>E65-C65</f>
        <v>0</v>
      </c>
      <c r="I65" s="142">
        <f t="shared" si="25"/>
      </c>
      <c r="J65" s="125"/>
      <c r="K65" s="125"/>
      <c r="L65" s="120">
        <f t="shared" si="32"/>
        <v>0</v>
      </c>
      <c r="M65" s="142">
        <f t="shared" si="27"/>
      </c>
      <c r="N65" s="125"/>
      <c r="O65" s="125">
        <f t="shared" si="23"/>
        <v>0</v>
      </c>
      <c r="P65" s="125">
        <f t="shared" si="30"/>
        <v>0</v>
      </c>
      <c r="Q65" s="125">
        <f t="shared" si="28"/>
        <v>0</v>
      </c>
      <c r="R65" s="142">
        <f t="shared" si="31"/>
      </c>
    </row>
    <row r="66" spans="1:20" ht="25.5" customHeight="1">
      <c r="A66" s="65"/>
      <c r="B66" s="114" t="s">
        <v>4</v>
      </c>
      <c r="C66" s="122">
        <f>C57+C51</f>
        <v>9837893.662939997</v>
      </c>
      <c r="D66" s="122">
        <f>D57+D51</f>
        <v>3741080.615690001</v>
      </c>
      <c r="E66" s="122">
        <f>E57+E51</f>
        <v>2848138.735190001</v>
      </c>
      <c r="F66" s="122">
        <f t="shared" si="24"/>
        <v>-892941.8805</v>
      </c>
      <c r="G66" s="142">
        <f t="shared" si="29"/>
        <v>0.7613144510291964</v>
      </c>
      <c r="H66" s="122">
        <f>E66-C66</f>
        <v>-6989754.927749997</v>
      </c>
      <c r="I66" s="142">
        <f t="shared" si="25"/>
        <v>0.2895069648820387</v>
      </c>
      <c r="J66" s="122">
        <f>J51+J57</f>
        <v>2030101.74893</v>
      </c>
      <c r="K66" s="122">
        <f>K51+K57</f>
        <v>335819.10521999997</v>
      </c>
      <c r="L66" s="122">
        <f>L51+L57</f>
        <v>-1694282.6437100002</v>
      </c>
      <c r="M66" s="142">
        <f t="shared" si="27"/>
        <v>0.16541983937356794</v>
      </c>
      <c r="N66" s="161"/>
      <c r="O66" s="161">
        <f t="shared" si="23"/>
        <v>11867995.411869997</v>
      </c>
      <c r="P66" s="161">
        <f t="shared" si="30"/>
        <v>3183957.8404100006</v>
      </c>
      <c r="Q66" s="161">
        <f t="shared" si="28"/>
        <v>-8684037.571459997</v>
      </c>
      <c r="R66" s="142">
        <f t="shared" si="31"/>
        <v>0.2682810137612209</v>
      </c>
      <c r="S66" s="5"/>
      <c r="T66" s="5"/>
    </row>
    <row r="67" spans="1:18" ht="15.75">
      <c r="A67" s="42"/>
      <c r="B67" s="43"/>
      <c r="C67" s="198"/>
      <c r="D67" s="209"/>
      <c r="E67" s="198"/>
      <c r="F67" s="199"/>
      <c r="G67" s="199"/>
      <c r="H67" s="200"/>
      <c r="I67" s="200"/>
      <c r="J67" s="201"/>
      <c r="K67" s="201"/>
      <c r="L67" s="154"/>
      <c r="M67" s="155"/>
      <c r="N67" s="116"/>
      <c r="O67" s="116"/>
      <c r="P67" s="116"/>
      <c r="Q67" s="116"/>
      <c r="R67" s="116"/>
    </row>
    <row r="68" spans="1:18" ht="15.75">
      <c r="A68" s="39"/>
      <c r="B68" s="50"/>
      <c r="C68" s="202"/>
      <c r="D68" s="201"/>
      <c r="E68" s="202"/>
      <c r="F68" s="200"/>
      <c r="G68" s="200"/>
      <c r="H68" s="200"/>
      <c r="I68" s="200"/>
      <c r="J68" s="201"/>
      <c r="K68" s="201"/>
      <c r="L68" s="154"/>
      <c r="M68" s="155"/>
      <c r="N68" s="116"/>
      <c r="O68" s="116"/>
      <c r="P68" s="116"/>
      <c r="Q68" s="116"/>
      <c r="R68" s="116"/>
    </row>
    <row r="69" spans="1:13" ht="15.75">
      <c r="A69" s="37"/>
      <c r="B69" s="38"/>
      <c r="C69" s="210"/>
      <c r="D69" s="211"/>
      <c r="E69" s="254"/>
      <c r="F69" s="203"/>
      <c r="G69" s="203"/>
      <c r="H69" s="190"/>
      <c r="I69" s="193"/>
      <c r="J69" s="204"/>
      <c r="K69" s="205"/>
      <c r="M69" s="156"/>
    </row>
    <row r="70" spans="1:13" ht="18.75">
      <c r="A70" s="37"/>
      <c r="B70" s="79"/>
      <c r="C70" s="212"/>
      <c r="D70" s="213"/>
      <c r="E70" s="255"/>
      <c r="F70" s="190"/>
      <c r="G70" s="190"/>
      <c r="H70" s="190"/>
      <c r="I70" s="193"/>
      <c r="J70" s="206"/>
      <c r="K70" s="205"/>
      <c r="M70" s="156"/>
    </row>
    <row r="71" spans="1:13" ht="15.75">
      <c r="A71" s="37"/>
      <c r="B71" s="38"/>
      <c r="C71" s="212"/>
      <c r="D71" s="213"/>
      <c r="E71" s="255"/>
      <c r="F71" s="190"/>
      <c r="G71" s="190"/>
      <c r="H71" s="190"/>
      <c r="I71" s="193"/>
      <c r="J71" s="205"/>
      <c r="K71" s="206"/>
      <c r="M71" s="156"/>
    </row>
    <row r="72" spans="1:13" ht="15.75">
      <c r="A72" s="37"/>
      <c r="B72" s="38"/>
      <c r="C72" s="212"/>
      <c r="D72" s="213"/>
      <c r="E72" s="255"/>
      <c r="F72" s="190"/>
      <c r="G72" s="190"/>
      <c r="H72" s="190"/>
      <c r="I72" s="193"/>
      <c r="J72" s="205"/>
      <c r="K72" s="205"/>
      <c r="M72" s="156"/>
    </row>
    <row r="73" spans="1:13" ht="15.75">
      <c r="A73" s="37"/>
      <c r="B73" s="38"/>
      <c r="C73" s="212"/>
      <c r="D73" s="213"/>
      <c r="E73" s="255"/>
      <c r="F73" s="190"/>
      <c r="G73" s="190"/>
      <c r="H73" s="190"/>
      <c r="I73" s="193"/>
      <c r="J73" s="205"/>
      <c r="K73" s="205"/>
      <c r="M73" s="156"/>
    </row>
    <row r="74" spans="1:13" ht="15.75">
      <c r="A74" s="37"/>
      <c r="B74" s="38"/>
      <c r="C74" s="212"/>
      <c r="D74" s="213"/>
      <c r="E74" s="255"/>
      <c r="F74" s="190"/>
      <c r="G74" s="190"/>
      <c r="H74" s="190"/>
      <c r="I74" s="193"/>
      <c r="J74" s="205"/>
      <c r="K74" s="205"/>
      <c r="M74" s="156"/>
    </row>
    <row r="75" spans="1:13" ht="15.75">
      <c r="A75" s="40"/>
      <c r="B75" s="41"/>
      <c r="C75" s="214"/>
      <c r="D75" s="215"/>
      <c r="E75" s="175"/>
      <c r="F75" s="189"/>
      <c r="G75" s="189"/>
      <c r="H75" s="189"/>
      <c r="M75" s="156"/>
    </row>
    <row r="76" spans="1:13" ht="15.75">
      <c r="A76" s="40"/>
      <c r="B76" s="41"/>
      <c r="C76" s="214"/>
      <c r="D76" s="215"/>
      <c r="E76" s="175"/>
      <c r="F76" s="189"/>
      <c r="G76" s="189"/>
      <c r="H76" s="189"/>
      <c r="M76" s="156"/>
    </row>
    <row r="77" spans="1:13" ht="15.75">
      <c r="A77" s="40"/>
      <c r="B77" s="41"/>
      <c r="C77" s="214"/>
      <c r="D77" s="215"/>
      <c r="E77" s="175"/>
      <c r="F77" s="189"/>
      <c r="G77" s="189"/>
      <c r="H77" s="189"/>
      <c r="M77" s="156"/>
    </row>
    <row r="78" ht="15.75">
      <c r="M78" s="156"/>
    </row>
    <row r="79" ht="15.75">
      <c r="M79" s="156"/>
    </row>
    <row r="80" ht="15.75">
      <c r="M80" s="156"/>
    </row>
    <row r="81" ht="15.75">
      <c r="M81" s="156"/>
    </row>
    <row r="82" ht="15.75">
      <c r="M82" s="156"/>
    </row>
    <row r="83" ht="15.75">
      <c r="M83" s="156"/>
    </row>
    <row r="84" ht="15.75">
      <c r="M84" s="156"/>
    </row>
    <row r="85" ht="15.75">
      <c r="M85" s="156"/>
    </row>
    <row r="86" ht="15.75">
      <c r="M86" s="156"/>
    </row>
    <row r="87" ht="15.75">
      <c r="M87" s="156"/>
    </row>
    <row r="88" ht="15.75">
      <c r="M88" s="156"/>
    </row>
    <row r="89" ht="15.75">
      <c r="M89" s="156"/>
    </row>
    <row r="90" ht="15.75">
      <c r="M90" s="156"/>
    </row>
    <row r="91" ht="15.75">
      <c r="M91" s="156"/>
    </row>
    <row r="92" ht="15.75">
      <c r="M92" s="156"/>
    </row>
    <row r="93" ht="15.75">
      <c r="M93" s="156"/>
    </row>
    <row r="94" ht="15.75">
      <c r="M94" s="156"/>
    </row>
    <row r="95" ht="15.75">
      <c r="M95" s="156"/>
    </row>
    <row r="96" ht="15.75">
      <c r="M96" s="156"/>
    </row>
    <row r="97" ht="15.75">
      <c r="M97" s="156"/>
    </row>
    <row r="98" ht="15.75">
      <c r="M98" s="156"/>
    </row>
    <row r="99" ht="15.75">
      <c r="M99" s="156"/>
    </row>
    <row r="100" ht="15.75">
      <c r="M100" s="156"/>
    </row>
    <row r="101" ht="15.75">
      <c r="M101" s="156"/>
    </row>
    <row r="102" ht="15.75">
      <c r="M102" s="156"/>
    </row>
    <row r="103" ht="15.75">
      <c r="M103" s="156"/>
    </row>
    <row r="104" ht="15.75">
      <c r="M104" s="156"/>
    </row>
    <row r="105" ht="15.75">
      <c r="M105" s="156"/>
    </row>
    <row r="106" ht="15.75">
      <c r="M106" s="156"/>
    </row>
    <row r="107" ht="15.75">
      <c r="M107" s="156"/>
    </row>
    <row r="108" ht="15.75">
      <c r="M108" s="156"/>
    </row>
    <row r="109" ht="15.75">
      <c r="M109" s="156"/>
    </row>
    <row r="110" ht="15.75">
      <c r="M110" s="156"/>
    </row>
    <row r="111" ht="15.75">
      <c r="M111" s="156"/>
    </row>
    <row r="112" ht="15.75">
      <c r="M112" s="156"/>
    </row>
    <row r="113" ht="15.75">
      <c r="M113" s="156"/>
    </row>
    <row r="114" ht="15.75">
      <c r="M114" s="156"/>
    </row>
    <row r="115" ht="15.75">
      <c r="M115" s="156"/>
    </row>
    <row r="116" ht="15.75">
      <c r="M116" s="156"/>
    </row>
    <row r="117" ht="15.75">
      <c r="M117" s="156"/>
    </row>
    <row r="118" ht="15.75">
      <c r="M118" s="156"/>
    </row>
    <row r="119" ht="15.75">
      <c r="M119" s="156"/>
    </row>
    <row r="120" ht="15.75">
      <c r="M120" s="156"/>
    </row>
    <row r="121" ht="15.75">
      <c r="M121" s="156"/>
    </row>
    <row r="122" ht="15.75">
      <c r="M122" s="156"/>
    </row>
    <row r="123" ht="15.75">
      <c r="M123" s="156"/>
    </row>
    <row r="124" ht="15.75">
      <c r="M124" s="156"/>
    </row>
    <row r="125" ht="15.75">
      <c r="M125" s="156"/>
    </row>
    <row r="126" ht="15.75">
      <c r="M126" s="156"/>
    </row>
    <row r="127" ht="15.75">
      <c r="M127" s="156"/>
    </row>
    <row r="128" ht="15.75">
      <c r="M128" s="156"/>
    </row>
    <row r="129" ht="15.75">
      <c r="M129" s="156"/>
    </row>
    <row r="130" ht="15.75">
      <c r="M130" s="156"/>
    </row>
    <row r="131" ht="15.75">
      <c r="M131" s="156"/>
    </row>
    <row r="132" ht="15.75">
      <c r="M132" s="156"/>
    </row>
    <row r="133" ht="15.75">
      <c r="M133" s="156"/>
    </row>
    <row r="134" ht="15.75">
      <c r="M134" s="156"/>
    </row>
    <row r="135" ht="15.75">
      <c r="M135" s="156"/>
    </row>
    <row r="136" ht="15.75">
      <c r="M136" s="156"/>
    </row>
    <row r="137" ht="15.75">
      <c r="M137" s="156"/>
    </row>
    <row r="138" ht="15.75">
      <c r="M138" s="156"/>
    </row>
    <row r="139" ht="15.75">
      <c r="M139" s="156"/>
    </row>
    <row r="140" ht="15.75">
      <c r="M140" s="156"/>
    </row>
    <row r="141" ht="15.75">
      <c r="M141" s="156"/>
    </row>
    <row r="142" ht="15.75">
      <c r="M142" s="156"/>
    </row>
    <row r="143" ht="15.75">
      <c r="M143" s="156"/>
    </row>
    <row r="144" ht="15.75">
      <c r="M144" s="156"/>
    </row>
    <row r="145" ht="15.75">
      <c r="M145" s="156"/>
    </row>
    <row r="146" ht="15.75">
      <c r="M146" s="156"/>
    </row>
    <row r="147" ht="15.75">
      <c r="M147" s="156"/>
    </row>
    <row r="148" ht="15.75">
      <c r="M148" s="156"/>
    </row>
    <row r="149" ht="15.75">
      <c r="M149" s="156"/>
    </row>
    <row r="150" ht="15.75">
      <c r="M150" s="156"/>
    </row>
    <row r="151" ht="15.75">
      <c r="M151" s="156"/>
    </row>
    <row r="152" ht="15.75">
      <c r="M152" s="156"/>
    </row>
    <row r="153" ht="15.75">
      <c r="M153" s="156"/>
    </row>
    <row r="154" ht="15.75">
      <c r="M154" s="156"/>
    </row>
    <row r="155" ht="15.75">
      <c r="M155" s="156"/>
    </row>
    <row r="156" ht="15.75">
      <c r="M156" s="156"/>
    </row>
    <row r="157" ht="15.75">
      <c r="M157" s="156"/>
    </row>
    <row r="158" ht="15.75">
      <c r="M158" s="156"/>
    </row>
    <row r="159" ht="15.75">
      <c r="M159" s="156"/>
    </row>
    <row r="160" ht="15.75">
      <c r="M160" s="156"/>
    </row>
    <row r="161" ht="15.75">
      <c r="M161" s="156"/>
    </row>
    <row r="162" ht="15.75">
      <c r="M162" s="156"/>
    </row>
    <row r="163" ht="15.75">
      <c r="M163" s="156"/>
    </row>
    <row r="164" ht="15.75">
      <c r="M164" s="156"/>
    </row>
    <row r="165" ht="15.75">
      <c r="M165" s="156"/>
    </row>
    <row r="166" ht="15.75">
      <c r="M166" s="156"/>
    </row>
    <row r="167" ht="15.75">
      <c r="M167" s="156"/>
    </row>
    <row r="168" ht="15.75">
      <c r="M168" s="156"/>
    </row>
    <row r="169" ht="15.75">
      <c r="M169" s="156"/>
    </row>
    <row r="170" ht="15.75">
      <c r="M170" s="156"/>
    </row>
    <row r="171" ht="15.75">
      <c r="M171" s="156"/>
    </row>
    <row r="172" ht="15.75">
      <c r="M172" s="156"/>
    </row>
    <row r="173" ht="15.75">
      <c r="M173" s="156"/>
    </row>
    <row r="174" ht="15.75">
      <c r="M174" s="156"/>
    </row>
    <row r="175" ht="15.75">
      <c r="M175" s="156"/>
    </row>
    <row r="176" ht="15.75">
      <c r="M176" s="156"/>
    </row>
    <row r="177" ht="15.75">
      <c r="M177" s="156"/>
    </row>
    <row r="178" ht="15.75">
      <c r="M178" s="156"/>
    </row>
    <row r="179" ht="15.75">
      <c r="M179" s="156"/>
    </row>
    <row r="180" ht="15.75">
      <c r="M180" s="156"/>
    </row>
    <row r="181" ht="15.75">
      <c r="M181" s="156"/>
    </row>
    <row r="182" ht="15.75">
      <c r="M182" s="156"/>
    </row>
    <row r="183" ht="15.75">
      <c r="M183" s="156"/>
    </row>
    <row r="184" ht="15.75">
      <c r="M184" s="156"/>
    </row>
    <row r="185" ht="15.75">
      <c r="M185" s="156"/>
    </row>
    <row r="186" ht="15.75">
      <c r="M186" s="156"/>
    </row>
    <row r="187" ht="15.75">
      <c r="M187" s="156"/>
    </row>
    <row r="188" ht="15.75">
      <c r="M188" s="156"/>
    </row>
    <row r="189" ht="15.75">
      <c r="M189" s="156"/>
    </row>
    <row r="190" ht="15.75">
      <c r="M190" s="156"/>
    </row>
    <row r="191" ht="15.75">
      <c r="M191" s="156"/>
    </row>
    <row r="192" ht="15.75">
      <c r="M192" s="156"/>
    </row>
    <row r="193" ht="15.75">
      <c r="M193" s="156"/>
    </row>
    <row r="194" ht="15.75">
      <c r="M194" s="156"/>
    </row>
    <row r="195" ht="15.75">
      <c r="M195" s="156"/>
    </row>
    <row r="196" ht="15.75">
      <c r="M196" s="156"/>
    </row>
    <row r="197" ht="15.75">
      <c r="M197" s="156"/>
    </row>
    <row r="198" ht="15.75">
      <c r="M198" s="156"/>
    </row>
    <row r="199" ht="15.75">
      <c r="M199" s="156"/>
    </row>
    <row r="200" ht="15.75">
      <c r="M200" s="156"/>
    </row>
    <row r="201" ht="15.75">
      <c r="M201" s="156"/>
    </row>
    <row r="202" ht="15.75">
      <c r="M202" s="156"/>
    </row>
    <row r="203" ht="15.75">
      <c r="M203" s="156"/>
    </row>
    <row r="204" ht="15.75">
      <c r="M204" s="156"/>
    </row>
    <row r="205" ht="15.75">
      <c r="M205" s="156"/>
    </row>
    <row r="206" ht="15.75">
      <c r="M206" s="156"/>
    </row>
    <row r="207" ht="15.75">
      <c r="M207" s="156"/>
    </row>
    <row r="208" ht="15.75">
      <c r="M208" s="156"/>
    </row>
    <row r="209" ht="15.75">
      <c r="M209" s="156"/>
    </row>
    <row r="210" ht="15.75">
      <c r="M210" s="156"/>
    </row>
    <row r="211" ht="15.75">
      <c r="M211" s="156"/>
    </row>
    <row r="212" ht="15.75">
      <c r="M212" s="156"/>
    </row>
    <row r="213" ht="15.75">
      <c r="M213" s="156"/>
    </row>
    <row r="214" ht="15.75">
      <c r="M214" s="156"/>
    </row>
    <row r="215" ht="15.75">
      <c r="M215" s="156"/>
    </row>
    <row r="216" ht="15.75">
      <c r="M216" s="156"/>
    </row>
    <row r="217" ht="15.75">
      <c r="M217" s="156"/>
    </row>
    <row r="218" ht="15.75">
      <c r="M218" s="156"/>
    </row>
    <row r="219" ht="15.75">
      <c r="M219" s="156"/>
    </row>
    <row r="220" ht="15.75">
      <c r="M220" s="156"/>
    </row>
    <row r="221" ht="15.75">
      <c r="M221" s="156"/>
    </row>
    <row r="222" ht="15.75">
      <c r="M222" s="156"/>
    </row>
    <row r="223" ht="15.75">
      <c r="M223" s="156"/>
    </row>
    <row r="224" ht="15.75">
      <c r="M224" s="156"/>
    </row>
    <row r="225" ht="15.75">
      <c r="M225" s="156"/>
    </row>
    <row r="226" ht="15.75">
      <c r="M226" s="156"/>
    </row>
    <row r="227" ht="15.75">
      <c r="M227" s="156"/>
    </row>
    <row r="228" ht="15.75">
      <c r="M228" s="156"/>
    </row>
    <row r="229" ht="15.75">
      <c r="M229" s="156"/>
    </row>
    <row r="230" ht="15.75">
      <c r="M230" s="156"/>
    </row>
    <row r="231" ht="15.75">
      <c r="M231" s="156"/>
    </row>
    <row r="232" ht="15.75">
      <c r="M232" s="156"/>
    </row>
    <row r="233" ht="15.75">
      <c r="M233" s="156"/>
    </row>
    <row r="234" ht="15.75">
      <c r="M234" s="156"/>
    </row>
    <row r="235" ht="15.75">
      <c r="M235" s="156"/>
    </row>
    <row r="236" ht="15.75">
      <c r="M236" s="156"/>
    </row>
    <row r="237" ht="15.75">
      <c r="M237" s="156"/>
    </row>
    <row r="238" ht="15.75">
      <c r="M238" s="156"/>
    </row>
    <row r="239" ht="15.75">
      <c r="M239" s="156"/>
    </row>
    <row r="240" ht="15.75">
      <c r="M240" s="156"/>
    </row>
    <row r="241" ht="15.75">
      <c r="M241" s="156"/>
    </row>
    <row r="242" ht="15.75">
      <c r="M242" s="156"/>
    </row>
    <row r="243" ht="15.75">
      <c r="M243" s="156"/>
    </row>
    <row r="244" ht="15.75">
      <c r="M244" s="156"/>
    </row>
    <row r="245" ht="15.75">
      <c r="M245" s="156"/>
    </row>
    <row r="246" ht="15.75">
      <c r="M246" s="156"/>
    </row>
    <row r="247" ht="15.75">
      <c r="M247" s="156"/>
    </row>
    <row r="248" ht="15.75">
      <c r="M248" s="156"/>
    </row>
    <row r="249" ht="15.75">
      <c r="M249" s="156"/>
    </row>
    <row r="250" ht="15.75">
      <c r="M250" s="156"/>
    </row>
    <row r="251" ht="15.75">
      <c r="M251" s="156"/>
    </row>
    <row r="252" ht="15.75">
      <c r="M252" s="156"/>
    </row>
    <row r="253" ht="15.75">
      <c r="M253" s="156"/>
    </row>
    <row r="254" ht="15.75">
      <c r="M254" s="156"/>
    </row>
    <row r="255" ht="15.75">
      <c r="M255" s="156"/>
    </row>
    <row r="256" ht="15.75">
      <c r="M256" s="156"/>
    </row>
    <row r="257" ht="15.75">
      <c r="M257" s="156"/>
    </row>
    <row r="258" ht="15.75">
      <c r="M258" s="156"/>
    </row>
    <row r="259" ht="15.75">
      <c r="M259" s="156"/>
    </row>
    <row r="260" ht="15.75">
      <c r="M260" s="156"/>
    </row>
    <row r="261" ht="15.75">
      <c r="M261" s="156"/>
    </row>
    <row r="262" ht="15.75">
      <c r="M262" s="156"/>
    </row>
    <row r="263" ht="15.75">
      <c r="M263" s="156"/>
    </row>
    <row r="264" ht="15.75">
      <c r="M264" s="156"/>
    </row>
    <row r="265" ht="15.75">
      <c r="M265" s="156"/>
    </row>
    <row r="266" ht="15.75">
      <c r="M266" s="156"/>
    </row>
    <row r="267" ht="15.75">
      <c r="M267" s="156"/>
    </row>
    <row r="268" ht="15.75">
      <c r="M268" s="156"/>
    </row>
    <row r="269" ht="15.75">
      <c r="M269" s="156"/>
    </row>
    <row r="270" ht="15.75">
      <c r="M270" s="156"/>
    </row>
    <row r="271" ht="15.75">
      <c r="M271" s="156"/>
    </row>
    <row r="272" ht="15.75">
      <c r="M272" s="156"/>
    </row>
    <row r="273" ht="15.75">
      <c r="M273" s="156"/>
    </row>
    <row r="274" ht="15.75">
      <c r="M274" s="156"/>
    </row>
    <row r="275" ht="15.75">
      <c r="M275" s="156"/>
    </row>
    <row r="276" ht="15.75">
      <c r="M276" s="156"/>
    </row>
    <row r="277" ht="15.75">
      <c r="M277" s="156"/>
    </row>
    <row r="278" ht="15.75">
      <c r="M278" s="156"/>
    </row>
    <row r="279" ht="15.75">
      <c r="M279" s="156"/>
    </row>
    <row r="280" ht="15.75">
      <c r="M280" s="156"/>
    </row>
    <row r="281" ht="15.75">
      <c r="M281" s="156"/>
    </row>
    <row r="282" ht="15.75">
      <c r="M282" s="156"/>
    </row>
    <row r="283" ht="15.75">
      <c r="M283" s="156"/>
    </row>
    <row r="284" ht="15.75">
      <c r="M284" s="156"/>
    </row>
    <row r="285" ht="15.75">
      <c r="M285" s="156"/>
    </row>
    <row r="286" ht="15.75">
      <c r="M286" s="156"/>
    </row>
    <row r="287" ht="15.75">
      <c r="M287" s="156"/>
    </row>
    <row r="288" ht="15.75">
      <c r="M288" s="156"/>
    </row>
    <row r="289" ht="15.75">
      <c r="M289" s="156"/>
    </row>
    <row r="290" ht="15.75">
      <c r="M290" s="156"/>
    </row>
    <row r="291" ht="15.75">
      <c r="M291" s="156"/>
    </row>
    <row r="292" ht="15.75">
      <c r="M292" s="156"/>
    </row>
    <row r="293" ht="15.75">
      <c r="M293" s="156"/>
    </row>
    <row r="294" ht="15.75">
      <c r="M294" s="156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2023-05-31T05:41:32Z</cp:lastPrinted>
  <dcterms:created xsi:type="dcterms:W3CDTF">2001-07-11T13:17:26Z</dcterms:created>
  <dcterms:modified xsi:type="dcterms:W3CDTF">2023-05-31T06:33:05Z</dcterms:modified>
  <cp:category/>
  <cp:version/>
  <cp:contentType/>
  <cp:contentStatus/>
</cp:coreProperties>
</file>