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9A6CEA52-783C-4B4C-B9C8-B6EDF62C7940}" xr6:coauthVersionLast="37" xr6:coauthVersionMax="37" xr10:uidLastSave="{00000000-0000-0000-0000-000000000000}"/>
  <bookViews>
    <workbookView xWindow="0" yWindow="0" windowWidth="23040" windowHeight="8940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Видатки!$A$1:$Q$61</definedName>
    <definedName name="_xlnm.Print_Area" localSheetId="0">Доходи!$A$1:$R$69</definedName>
  </definedNames>
  <calcPr calcId="181029" fullCalcOnLoad="1"/>
</workbook>
</file>

<file path=xl/calcChain.xml><?xml version="1.0" encoding="utf-8"?>
<calcChain xmlns="http://schemas.openxmlformats.org/spreadsheetml/2006/main">
  <c r="E14" i="7" l="1"/>
  <c r="K14" i="7"/>
  <c r="M48" i="7"/>
  <c r="E43" i="7"/>
  <c r="E17" i="7"/>
  <c r="K34" i="7"/>
  <c r="O34" i="7"/>
  <c r="E49" i="8"/>
  <c r="C49" i="8"/>
  <c r="E47" i="8"/>
  <c r="I47" i="8"/>
  <c r="H47" i="8"/>
  <c r="E45" i="8"/>
  <c r="E44" i="8"/>
  <c r="C44" i="8"/>
  <c r="N44" i="8"/>
  <c r="E43" i="8"/>
  <c r="F43" i="8"/>
  <c r="E41" i="8"/>
  <c r="C41" i="8"/>
  <c r="C9" i="8"/>
  <c r="D6" i="8"/>
  <c r="C43" i="8"/>
  <c r="C24" i="8"/>
  <c r="C23" i="8"/>
  <c r="C20" i="8"/>
  <c r="C18" i="8"/>
  <c r="C14" i="8"/>
  <c r="I14" i="8"/>
  <c r="C15" i="8"/>
  <c r="N15" i="8"/>
  <c r="C10" i="8"/>
  <c r="C26" i="8"/>
  <c r="C39" i="8"/>
  <c r="H39" i="8"/>
  <c r="E38" i="8"/>
  <c r="I38" i="8"/>
  <c r="E36" i="8"/>
  <c r="E35" i="8"/>
  <c r="G35" i="8"/>
  <c r="E32" i="8"/>
  <c r="E31" i="8"/>
  <c r="G31" i="8"/>
  <c r="E29" i="8"/>
  <c r="I29" i="8"/>
  <c r="E27" i="8"/>
  <c r="E26" i="8"/>
  <c r="E25" i="8"/>
  <c r="H25" i="8"/>
  <c r="E24" i="8"/>
  <c r="E23" i="8"/>
  <c r="E22" i="8"/>
  <c r="E18" i="8"/>
  <c r="G18" i="8"/>
  <c r="E21" i="8"/>
  <c r="F21" i="8"/>
  <c r="E17" i="8"/>
  <c r="G17" i="8"/>
  <c r="E16" i="8"/>
  <c r="I16" i="8"/>
  <c r="E15" i="8"/>
  <c r="I15" i="8"/>
  <c r="E7" i="8"/>
  <c r="D11" i="8"/>
  <c r="E13" i="8"/>
  <c r="E10" i="8"/>
  <c r="O10" i="8"/>
  <c r="E9" i="8"/>
  <c r="E8" i="8"/>
  <c r="C8" i="8"/>
  <c r="C6" i="8"/>
  <c r="K49" i="8"/>
  <c r="L49" i="8"/>
  <c r="K17" i="8"/>
  <c r="K11" i="8"/>
  <c r="J17" i="8"/>
  <c r="N17" i="8"/>
  <c r="K34" i="8"/>
  <c r="K41" i="8"/>
  <c r="J33" i="8"/>
  <c r="K10" i="8"/>
  <c r="J10" i="8"/>
  <c r="J8" i="8"/>
  <c r="L34" i="7"/>
  <c r="L31" i="7"/>
  <c r="L30" i="7"/>
  <c r="L25" i="7"/>
  <c r="L22" i="7"/>
  <c r="D43" i="7"/>
  <c r="J43" i="7"/>
  <c r="F43" i="7"/>
  <c r="H43" i="7"/>
  <c r="D17" i="7"/>
  <c r="O17" i="7"/>
  <c r="F17" i="7"/>
  <c r="I17" i="7"/>
  <c r="O52" i="7"/>
  <c r="P52" i="7"/>
  <c r="D14" i="7"/>
  <c r="J14" i="7"/>
  <c r="F14" i="7"/>
  <c r="J50" i="7"/>
  <c r="N36" i="7"/>
  <c r="J46" i="7"/>
  <c r="P50" i="7"/>
  <c r="R50" i="7"/>
  <c r="O50" i="7"/>
  <c r="I50" i="7"/>
  <c r="H50" i="7"/>
  <c r="G50" i="7"/>
  <c r="M36" i="7"/>
  <c r="M23" i="8"/>
  <c r="O36" i="7"/>
  <c r="P36" i="7"/>
  <c r="L7" i="8"/>
  <c r="L9" i="8"/>
  <c r="L12" i="8"/>
  <c r="L13" i="8"/>
  <c r="L14" i="8"/>
  <c r="L15" i="8"/>
  <c r="L16" i="8"/>
  <c r="L18" i="8"/>
  <c r="L19" i="8"/>
  <c r="L20" i="8"/>
  <c r="L21" i="8"/>
  <c r="L22" i="8"/>
  <c r="L23" i="8"/>
  <c r="L24" i="8"/>
  <c r="L25" i="8"/>
  <c r="L26" i="8"/>
  <c r="L27" i="8"/>
  <c r="L29" i="8"/>
  <c r="L30" i="8"/>
  <c r="L31" i="8"/>
  <c r="L32" i="8"/>
  <c r="L35" i="8"/>
  <c r="L36" i="8"/>
  <c r="L37" i="8"/>
  <c r="L38" i="8"/>
  <c r="L39" i="8"/>
  <c r="F23" i="8"/>
  <c r="G23" i="8"/>
  <c r="I23" i="8"/>
  <c r="N23" i="8"/>
  <c r="O23" i="8"/>
  <c r="G58" i="7"/>
  <c r="G59" i="7"/>
  <c r="G60" i="7"/>
  <c r="G47" i="7"/>
  <c r="G61" i="7"/>
  <c r="G62" i="7"/>
  <c r="G63" i="7"/>
  <c r="G64" i="7"/>
  <c r="D28" i="8"/>
  <c r="E21" i="7"/>
  <c r="C34" i="8"/>
  <c r="M46" i="7"/>
  <c r="N46" i="7"/>
  <c r="O46" i="7"/>
  <c r="P46" i="7"/>
  <c r="R46" i="7"/>
  <c r="G46" i="7"/>
  <c r="H46" i="7"/>
  <c r="I46" i="7"/>
  <c r="M58" i="7"/>
  <c r="M59" i="7"/>
  <c r="M60" i="7"/>
  <c r="M61" i="7"/>
  <c r="M62" i="7"/>
  <c r="M63" i="7"/>
  <c r="M52" i="7"/>
  <c r="M56" i="7"/>
  <c r="L47" i="7"/>
  <c r="K47" i="7"/>
  <c r="E47" i="7"/>
  <c r="D47" i="7"/>
  <c r="I47" i="7"/>
  <c r="O65" i="7"/>
  <c r="P65" i="7"/>
  <c r="M65" i="7"/>
  <c r="N65" i="7"/>
  <c r="G65" i="7"/>
  <c r="H65" i="7"/>
  <c r="I65" i="7"/>
  <c r="J65" i="7"/>
  <c r="L47" i="8"/>
  <c r="M47" i="8"/>
  <c r="L48" i="8"/>
  <c r="M48" i="8"/>
  <c r="N47" i="8"/>
  <c r="O47" i="8"/>
  <c r="Q47" i="8"/>
  <c r="N48" i="8"/>
  <c r="O48" i="8"/>
  <c r="F48" i="8"/>
  <c r="G48" i="8"/>
  <c r="H48" i="8"/>
  <c r="I48" i="8"/>
  <c r="F47" i="8"/>
  <c r="G47" i="8"/>
  <c r="C52" i="8"/>
  <c r="D52" i="8"/>
  <c r="E52" i="8"/>
  <c r="G52" i="8"/>
  <c r="O60" i="7"/>
  <c r="P60" i="7"/>
  <c r="O61" i="7"/>
  <c r="P61" i="7"/>
  <c r="O62" i="7"/>
  <c r="R62" i="7"/>
  <c r="P62" i="7"/>
  <c r="O63" i="7"/>
  <c r="P63" i="7"/>
  <c r="Q63" i="7"/>
  <c r="H60" i="7"/>
  <c r="I60" i="7"/>
  <c r="J60" i="7"/>
  <c r="H61" i="7"/>
  <c r="I61" i="7"/>
  <c r="J61" i="7"/>
  <c r="H62" i="7"/>
  <c r="I62" i="7"/>
  <c r="J62" i="7"/>
  <c r="H63" i="7"/>
  <c r="I63" i="7"/>
  <c r="J63" i="7"/>
  <c r="O58" i="7"/>
  <c r="P58" i="7"/>
  <c r="O56" i="7"/>
  <c r="P56" i="7"/>
  <c r="R56" i="7"/>
  <c r="G56" i="7"/>
  <c r="H56" i="7"/>
  <c r="I56" i="7"/>
  <c r="J56" i="7"/>
  <c r="K6" i="8"/>
  <c r="M7" i="8"/>
  <c r="N7" i="8"/>
  <c r="F9" i="8"/>
  <c r="G9" i="8"/>
  <c r="M9" i="8"/>
  <c r="N9" i="8"/>
  <c r="O9" i="8"/>
  <c r="Q9" i="8"/>
  <c r="F12" i="8"/>
  <c r="G12" i="8"/>
  <c r="H12" i="8"/>
  <c r="I12" i="8"/>
  <c r="M12" i="8"/>
  <c r="N12" i="8"/>
  <c r="O12" i="8"/>
  <c r="M13" i="8"/>
  <c r="N13" i="8"/>
  <c r="F14" i="8"/>
  <c r="G14" i="8"/>
  <c r="H14" i="8"/>
  <c r="M14" i="8"/>
  <c r="N14" i="8"/>
  <c r="O14" i="8"/>
  <c r="Q14" i="8"/>
  <c r="M15" i="8"/>
  <c r="G16" i="8"/>
  <c r="H16" i="8"/>
  <c r="M16" i="8"/>
  <c r="N16" i="8"/>
  <c r="O16" i="8"/>
  <c r="F17" i="8"/>
  <c r="H17" i="8"/>
  <c r="I17" i="8"/>
  <c r="F18" i="8"/>
  <c r="I18" i="8"/>
  <c r="M18" i="8"/>
  <c r="N18" i="8"/>
  <c r="F19" i="8"/>
  <c r="G19" i="8"/>
  <c r="H19" i="8"/>
  <c r="I19" i="8"/>
  <c r="M19" i="8"/>
  <c r="N19" i="8"/>
  <c r="O19" i="8"/>
  <c r="F20" i="8"/>
  <c r="G20" i="8"/>
  <c r="M20" i="8"/>
  <c r="O20" i="8"/>
  <c r="M21" i="8"/>
  <c r="N21" i="8"/>
  <c r="G22" i="8"/>
  <c r="I22" i="8"/>
  <c r="M22" i="8"/>
  <c r="N22" i="8"/>
  <c r="M24" i="8"/>
  <c r="N24" i="8"/>
  <c r="F25" i="8"/>
  <c r="G25" i="8"/>
  <c r="M25" i="8"/>
  <c r="N25" i="8"/>
  <c r="G26" i="8"/>
  <c r="I26" i="8"/>
  <c r="M26" i="8"/>
  <c r="N26" i="8"/>
  <c r="F27" i="8"/>
  <c r="G27" i="8"/>
  <c r="H27" i="8"/>
  <c r="M27" i="8"/>
  <c r="N27" i="8"/>
  <c r="C28" i="8"/>
  <c r="K28" i="8"/>
  <c r="M29" i="8"/>
  <c r="N29" i="8"/>
  <c r="F30" i="8"/>
  <c r="G30" i="8"/>
  <c r="H30" i="8"/>
  <c r="I30" i="8"/>
  <c r="M30" i="8"/>
  <c r="N30" i="8"/>
  <c r="O30" i="8"/>
  <c r="Q30" i="8"/>
  <c r="F31" i="8"/>
  <c r="I31" i="8"/>
  <c r="M31" i="8"/>
  <c r="N31" i="8"/>
  <c r="F32" i="8"/>
  <c r="G32" i="8"/>
  <c r="M32" i="8"/>
  <c r="N32" i="8"/>
  <c r="F33" i="8"/>
  <c r="G33" i="8"/>
  <c r="H33" i="8"/>
  <c r="I33" i="8"/>
  <c r="O33" i="8"/>
  <c r="D34" i="8"/>
  <c r="J34" i="8"/>
  <c r="F35" i="8"/>
  <c r="H35" i="8"/>
  <c r="I35" i="8"/>
  <c r="M35" i="8"/>
  <c r="N35" i="8"/>
  <c r="P35" i="8"/>
  <c r="O35" i="8"/>
  <c r="M36" i="8"/>
  <c r="N36" i="8"/>
  <c r="F37" i="8"/>
  <c r="G37" i="8"/>
  <c r="H37" i="8"/>
  <c r="I37" i="8"/>
  <c r="M37" i="8"/>
  <c r="N37" i="8"/>
  <c r="O37" i="8"/>
  <c r="G38" i="8"/>
  <c r="H38" i="8"/>
  <c r="M38" i="8"/>
  <c r="N38" i="8"/>
  <c r="O38" i="8"/>
  <c r="F39" i="8"/>
  <c r="G39" i="8"/>
  <c r="I39" i="8"/>
  <c r="M39" i="8"/>
  <c r="N39" i="8"/>
  <c r="O39" i="8"/>
  <c r="N41" i="8"/>
  <c r="O41" i="8"/>
  <c r="P41" i="8"/>
  <c r="L43" i="8"/>
  <c r="M43" i="8"/>
  <c r="F44" i="8"/>
  <c r="L44" i="8"/>
  <c r="M44" i="8"/>
  <c r="F45" i="8"/>
  <c r="G45" i="8"/>
  <c r="H45" i="8"/>
  <c r="I45" i="8"/>
  <c r="L45" i="8"/>
  <c r="M45" i="8"/>
  <c r="N45" i="8"/>
  <c r="O45" i="8"/>
  <c r="Q45" i="8"/>
  <c r="F46" i="8"/>
  <c r="G46" i="8"/>
  <c r="H46" i="8"/>
  <c r="I46" i="8"/>
  <c r="L46" i="8"/>
  <c r="M46" i="8"/>
  <c r="N46" i="8"/>
  <c r="O46" i="8"/>
  <c r="F49" i="8"/>
  <c r="G49" i="8"/>
  <c r="H49" i="8"/>
  <c r="I49" i="8"/>
  <c r="N49" i="8"/>
  <c r="O49" i="8"/>
  <c r="J52" i="8"/>
  <c r="K52" i="8"/>
  <c r="L52" i="8"/>
  <c r="F53" i="8"/>
  <c r="G53" i="8"/>
  <c r="H53" i="8"/>
  <c r="I53" i="8"/>
  <c r="L53" i="8"/>
  <c r="M53" i="8"/>
  <c r="N53" i="8"/>
  <c r="O53" i="8"/>
  <c r="F54" i="8"/>
  <c r="G54" i="8"/>
  <c r="H54" i="8"/>
  <c r="I54" i="8"/>
  <c r="L54" i="8"/>
  <c r="M54" i="8"/>
  <c r="N54" i="8"/>
  <c r="O54" i="8"/>
  <c r="P54" i="8"/>
  <c r="F55" i="8"/>
  <c r="G55" i="8"/>
  <c r="H55" i="8"/>
  <c r="I55" i="8"/>
  <c r="L55" i="8"/>
  <c r="M55" i="8"/>
  <c r="N55" i="8"/>
  <c r="O55" i="8"/>
  <c r="P55" i="8"/>
  <c r="F56" i="8"/>
  <c r="H56" i="8"/>
  <c r="I56" i="8"/>
  <c r="L56" i="8"/>
  <c r="M56" i="8"/>
  <c r="N56" i="8"/>
  <c r="O56" i="8"/>
  <c r="Q56" i="8"/>
  <c r="I57" i="8"/>
  <c r="L57" i="8"/>
  <c r="M57" i="8"/>
  <c r="Q57" i="8"/>
  <c r="C11" i="7"/>
  <c r="D11" i="7"/>
  <c r="O11" i="7"/>
  <c r="E11" i="7"/>
  <c r="E10" i="7"/>
  <c r="K11" i="7"/>
  <c r="L11" i="7"/>
  <c r="N11" i="7"/>
  <c r="N12" i="7"/>
  <c r="O12" i="7"/>
  <c r="G13" i="7"/>
  <c r="H13" i="7"/>
  <c r="I13" i="7"/>
  <c r="J13" i="7"/>
  <c r="N13" i="7"/>
  <c r="O13" i="7"/>
  <c r="P13" i="7"/>
  <c r="Q13" i="7"/>
  <c r="C14" i="7"/>
  <c r="L14" i="7"/>
  <c r="G15" i="7"/>
  <c r="H15" i="7"/>
  <c r="I15" i="7"/>
  <c r="J15" i="7"/>
  <c r="M15" i="7"/>
  <c r="M14" i="7"/>
  <c r="N15" i="7"/>
  <c r="O15" i="7"/>
  <c r="P15" i="7"/>
  <c r="G16" i="7"/>
  <c r="H16" i="7"/>
  <c r="I16" i="7"/>
  <c r="J16" i="7"/>
  <c r="M16" i="7"/>
  <c r="N16" i="7"/>
  <c r="O16" i="7"/>
  <c r="P16" i="7"/>
  <c r="R16" i="7"/>
  <c r="C17" i="7"/>
  <c r="K17" i="7"/>
  <c r="L17" i="7"/>
  <c r="G18" i="7"/>
  <c r="H18" i="7"/>
  <c r="I18" i="7"/>
  <c r="J18" i="7"/>
  <c r="M18" i="7"/>
  <c r="N18" i="7"/>
  <c r="O18" i="7"/>
  <c r="P18" i="7"/>
  <c r="Q18" i="7"/>
  <c r="G19" i="7"/>
  <c r="H19" i="7"/>
  <c r="I19" i="7"/>
  <c r="J19" i="7"/>
  <c r="M19" i="7"/>
  <c r="N19" i="7"/>
  <c r="O19" i="7"/>
  <c r="P19" i="7"/>
  <c r="Q19" i="7"/>
  <c r="G20" i="7"/>
  <c r="H20" i="7"/>
  <c r="I20" i="7"/>
  <c r="J20" i="7"/>
  <c r="M20" i="7"/>
  <c r="N20" i="7"/>
  <c r="O20" i="7"/>
  <c r="P20" i="7"/>
  <c r="D21" i="7"/>
  <c r="J21" i="7"/>
  <c r="F21" i="7"/>
  <c r="K21" i="7"/>
  <c r="L21" i="7"/>
  <c r="P21" i="7"/>
  <c r="G22" i="7"/>
  <c r="H22" i="7"/>
  <c r="I22" i="7"/>
  <c r="J22" i="7"/>
  <c r="N22" i="7"/>
  <c r="O22" i="7"/>
  <c r="G23" i="7"/>
  <c r="H23" i="7"/>
  <c r="I23" i="7"/>
  <c r="J23" i="7"/>
  <c r="M23" i="7"/>
  <c r="N23" i="7"/>
  <c r="O23" i="7"/>
  <c r="P23" i="7"/>
  <c r="G25" i="7"/>
  <c r="H25" i="7"/>
  <c r="I25" i="7"/>
  <c r="J25" i="7"/>
  <c r="M25" i="7"/>
  <c r="N25" i="7"/>
  <c r="O25" i="7"/>
  <c r="P25" i="7"/>
  <c r="D26" i="7"/>
  <c r="I26" i="7"/>
  <c r="I24" i="7"/>
  <c r="E26" i="7"/>
  <c r="E24" i="7"/>
  <c r="F26" i="7"/>
  <c r="K26" i="7"/>
  <c r="L26" i="7"/>
  <c r="P26" i="7"/>
  <c r="G27" i="7"/>
  <c r="H27" i="7"/>
  <c r="I27" i="7"/>
  <c r="J27" i="7"/>
  <c r="M27" i="7"/>
  <c r="N27" i="7"/>
  <c r="O27" i="7"/>
  <c r="P27" i="7"/>
  <c r="G28" i="7"/>
  <c r="H28" i="7"/>
  <c r="I28" i="7"/>
  <c r="J28" i="7"/>
  <c r="M28" i="7"/>
  <c r="N28" i="7"/>
  <c r="O28" i="7"/>
  <c r="P28" i="7"/>
  <c r="G29" i="7"/>
  <c r="H29" i="7"/>
  <c r="I29" i="7"/>
  <c r="J29" i="7"/>
  <c r="M29" i="7"/>
  <c r="N29" i="7"/>
  <c r="O29" i="7"/>
  <c r="P29" i="7"/>
  <c r="C30" i="7"/>
  <c r="D30" i="7"/>
  <c r="E30" i="7"/>
  <c r="K30" i="7"/>
  <c r="O30" i="7"/>
  <c r="M31" i="7"/>
  <c r="N31" i="7"/>
  <c r="O31" i="7"/>
  <c r="H32" i="7"/>
  <c r="I32" i="7"/>
  <c r="J32" i="7"/>
  <c r="M32" i="7"/>
  <c r="N32" i="7"/>
  <c r="O32" i="7"/>
  <c r="R32" i="7"/>
  <c r="P32" i="7"/>
  <c r="G33" i="7"/>
  <c r="H33" i="7"/>
  <c r="I33" i="7"/>
  <c r="J33" i="7"/>
  <c r="M33" i="7"/>
  <c r="N33" i="7"/>
  <c r="O33" i="7"/>
  <c r="P33" i="7"/>
  <c r="G34" i="7"/>
  <c r="H34" i="7"/>
  <c r="I34" i="7"/>
  <c r="J34" i="7"/>
  <c r="G35" i="7"/>
  <c r="H35" i="7"/>
  <c r="I35" i="7"/>
  <c r="J35" i="7"/>
  <c r="M35" i="7"/>
  <c r="N35" i="7"/>
  <c r="O35" i="7"/>
  <c r="P35" i="7"/>
  <c r="R35" i="7"/>
  <c r="C37" i="7"/>
  <c r="F37" i="7"/>
  <c r="K37" i="7"/>
  <c r="O37" i="7"/>
  <c r="L37" i="7"/>
  <c r="G38" i="7"/>
  <c r="H38" i="7"/>
  <c r="M38" i="7"/>
  <c r="O38" i="7"/>
  <c r="P38" i="7"/>
  <c r="G39" i="7"/>
  <c r="H39" i="7"/>
  <c r="M39" i="7"/>
  <c r="O39" i="7"/>
  <c r="P39" i="7"/>
  <c r="Q39" i="7"/>
  <c r="C43" i="7"/>
  <c r="K43" i="7"/>
  <c r="L43" i="7"/>
  <c r="G44" i="7"/>
  <c r="H44" i="7"/>
  <c r="I44" i="7"/>
  <c r="J44" i="7"/>
  <c r="M44" i="7"/>
  <c r="N44" i="7"/>
  <c r="O44" i="7"/>
  <c r="P44" i="7"/>
  <c r="G45" i="7"/>
  <c r="H45" i="7"/>
  <c r="I45" i="7"/>
  <c r="J45" i="7"/>
  <c r="M45" i="7"/>
  <c r="N45" i="7"/>
  <c r="O45" i="7"/>
  <c r="P45" i="7"/>
  <c r="C47" i="7"/>
  <c r="C42" i="7"/>
  <c r="C41" i="7"/>
  <c r="G48" i="7"/>
  <c r="H48" i="7"/>
  <c r="I48" i="7"/>
  <c r="J48" i="7"/>
  <c r="N48" i="7"/>
  <c r="O48" i="7"/>
  <c r="P48" i="7"/>
  <c r="G49" i="7"/>
  <c r="H49" i="7"/>
  <c r="I49" i="7"/>
  <c r="J49" i="7"/>
  <c r="M49" i="7"/>
  <c r="N49" i="7"/>
  <c r="O49" i="7"/>
  <c r="P49" i="7"/>
  <c r="R49" i="7"/>
  <c r="G51" i="7"/>
  <c r="H51" i="7"/>
  <c r="I51" i="7"/>
  <c r="J51" i="7"/>
  <c r="M51" i="7"/>
  <c r="N51" i="7"/>
  <c r="O51" i="7"/>
  <c r="P51" i="7"/>
  <c r="R51" i="7"/>
  <c r="M53" i="7"/>
  <c r="N53" i="7"/>
  <c r="O53" i="7"/>
  <c r="G54" i="7"/>
  <c r="H54" i="7"/>
  <c r="I54" i="7"/>
  <c r="J54" i="7"/>
  <c r="M54" i="7"/>
  <c r="N54" i="7"/>
  <c r="O54" i="7"/>
  <c r="P54" i="7"/>
  <c r="G55" i="7"/>
  <c r="H55" i="7"/>
  <c r="I55" i="7"/>
  <c r="J55" i="7"/>
  <c r="M55" i="7"/>
  <c r="N55" i="7"/>
  <c r="O55" i="7"/>
  <c r="R55" i="7"/>
  <c r="Q55" i="7"/>
  <c r="P55" i="7"/>
  <c r="G57" i="7"/>
  <c r="H57" i="7"/>
  <c r="I57" i="7"/>
  <c r="J57" i="7"/>
  <c r="M57" i="7"/>
  <c r="N57" i="7"/>
  <c r="O57" i="7"/>
  <c r="P57" i="7"/>
  <c r="H58" i="7"/>
  <c r="I58" i="7"/>
  <c r="J58" i="7"/>
  <c r="H59" i="7"/>
  <c r="I59" i="7"/>
  <c r="J59" i="7"/>
  <c r="N59" i="7"/>
  <c r="O59" i="7"/>
  <c r="R59" i="7"/>
  <c r="P59" i="7"/>
  <c r="H64" i="7"/>
  <c r="I64" i="7"/>
  <c r="J64" i="7"/>
  <c r="M64" i="7"/>
  <c r="N64" i="7"/>
  <c r="O64" i="7"/>
  <c r="P64" i="7"/>
  <c r="M67" i="7"/>
  <c r="N67" i="7"/>
  <c r="O67" i="7"/>
  <c r="G68" i="7"/>
  <c r="I68" i="7"/>
  <c r="M68" i="7"/>
  <c r="N68" i="7"/>
  <c r="O68" i="7"/>
  <c r="R68" i="7"/>
  <c r="P68" i="7"/>
  <c r="G14" i="7"/>
  <c r="G43" i="7"/>
  <c r="R45" i="7"/>
  <c r="R18" i="7"/>
  <c r="Q62" i="7"/>
  <c r="R58" i="7"/>
  <c r="Q25" i="7"/>
  <c r="R25" i="7"/>
  <c r="N30" i="7"/>
  <c r="Q45" i="7"/>
  <c r="M43" i="7"/>
  <c r="P43" i="7"/>
  <c r="O17" i="8"/>
  <c r="M21" i="7"/>
  <c r="R44" i="7"/>
  <c r="Q68" i="7"/>
  <c r="H21" i="7"/>
  <c r="R65" i="7"/>
  <c r="Q65" i="7"/>
  <c r="Q44" i="7"/>
  <c r="R63" i="7"/>
  <c r="Q61" i="7"/>
  <c r="R61" i="7"/>
  <c r="F11" i="7"/>
  <c r="G11" i="7"/>
  <c r="P12" i="7"/>
  <c r="I12" i="7"/>
  <c r="H12" i="7"/>
  <c r="G12" i="7"/>
  <c r="J12" i="7"/>
  <c r="I11" i="7"/>
  <c r="J11" i="7"/>
  <c r="Q12" i="7"/>
  <c r="P31" i="7"/>
  <c r="Q31" i="7"/>
  <c r="F30" i="7"/>
  <c r="F24" i="7"/>
  <c r="I30" i="7"/>
  <c r="I31" i="7"/>
  <c r="H31" i="7"/>
  <c r="G31" i="7"/>
  <c r="J31" i="7"/>
  <c r="P30" i="7"/>
  <c r="Q30" i="7"/>
  <c r="J30" i="7"/>
  <c r="R30" i="7"/>
  <c r="F47" i="7"/>
  <c r="F42" i="7"/>
  <c r="P53" i="7"/>
  <c r="J53" i="7"/>
  <c r="I53" i="7"/>
  <c r="G53" i="7"/>
  <c r="H53" i="7"/>
  <c r="F41" i="7"/>
  <c r="I41" i="7"/>
  <c r="H47" i="7"/>
  <c r="J47" i="7"/>
  <c r="P67" i="7"/>
  <c r="Q67" i="7"/>
  <c r="R67" i="7"/>
  <c r="H67" i="7"/>
  <c r="I67" i="7"/>
  <c r="G67" i="7"/>
  <c r="J67" i="7"/>
  <c r="G30" i="7"/>
  <c r="Q20" i="7"/>
  <c r="Q58" i="7"/>
  <c r="Q49" i="7"/>
  <c r="Q52" i="7"/>
  <c r="R52" i="7"/>
  <c r="Q59" i="7"/>
  <c r="Q51" i="7"/>
  <c r="R33" i="7"/>
  <c r="Q33" i="7"/>
  <c r="N21" i="7"/>
  <c r="R19" i="7"/>
  <c r="N17" i="7"/>
  <c r="M17" i="7"/>
  <c r="P30" i="8"/>
  <c r="I43" i="7"/>
  <c r="D42" i="7"/>
  <c r="D41" i="7"/>
  <c r="M17" i="8"/>
  <c r="J42" i="7"/>
  <c r="H30" i="7"/>
  <c r="R28" i="7"/>
  <c r="Q50" i="7"/>
  <c r="Q16" i="7"/>
  <c r="G17" i="7"/>
  <c r="N34" i="7"/>
  <c r="I7" i="8"/>
  <c r="O7" i="8"/>
  <c r="Q7" i="8"/>
  <c r="O8" i="8"/>
  <c r="F8" i="8"/>
  <c r="E6" i="8"/>
  <c r="Q55" i="8"/>
  <c r="O52" i="8"/>
  <c r="D24" i="7"/>
  <c r="J24" i="7"/>
  <c r="Q29" i="7"/>
  <c r="N26" i="7"/>
  <c r="R27" i="7"/>
  <c r="O21" i="7"/>
  <c r="Q21" i="7"/>
  <c r="R20" i="7"/>
  <c r="K10" i="7"/>
  <c r="R13" i="7"/>
  <c r="P11" i="7"/>
  <c r="M11" i="7"/>
  <c r="M26" i="7"/>
  <c r="Q27" i="7"/>
  <c r="R29" i="7"/>
  <c r="L24" i="7"/>
  <c r="P24" i="7"/>
  <c r="E40" i="7"/>
  <c r="O26" i="7"/>
  <c r="J26" i="7"/>
  <c r="Q53" i="8"/>
  <c r="P53" i="8"/>
  <c r="M52" i="8"/>
  <c r="N10" i="8"/>
  <c r="Q19" i="8"/>
  <c r="Q12" i="8"/>
  <c r="P23" i="8"/>
  <c r="L10" i="8"/>
  <c r="Q17" i="8"/>
  <c r="E11" i="8"/>
  <c r="G11" i="8"/>
  <c r="I9" i="8"/>
  <c r="M49" i="8"/>
  <c r="P9" i="8"/>
  <c r="I52" i="8"/>
  <c r="N34" i="8"/>
  <c r="Q39" i="8"/>
  <c r="P37" i="8"/>
  <c r="Q35" i="8"/>
  <c r="H10" i="8"/>
  <c r="Q48" i="8"/>
  <c r="J11" i="8"/>
  <c r="M11" i="8"/>
  <c r="P12" i="8"/>
  <c r="G10" i="8"/>
  <c r="Q54" i="8"/>
  <c r="Q41" i="8"/>
  <c r="L17" i="8"/>
  <c r="M10" i="8"/>
  <c r="P47" i="8"/>
  <c r="G43" i="8"/>
  <c r="F38" i="8"/>
  <c r="O31" i="8"/>
  <c r="H31" i="8"/>
  <c r="I25" i="8"/>
  <c r="O18" i="8"/>
  <c r="H18" i="8"/>
  <c r="F16" i="8"/>
  <c r="F13" i="8"/>
  <c r="F10" i="8"/>
  <c r="F52" i="8"/>
  <c r="P10" i="8"/>
  <c r="N8" i="8"/>
  <c r="Q8" i="8"/>
  <c r="H8" i="8"/>
  <c r="H6" i="8"/>
  <c r="P45" i="8"/>
  <c r="P49" i="8"/>
  <c r="Q46" i="8"/>
  <c r="O43" i="8"/>
  <c r="Q37" i="8"/>
  <c r="O25" i="8"/>
  <c r="P19" i="8"/>
  <c r="P14" i="8"/>
  <c r="K40" i="8"/>
  <c r="K42" i="8"/>
  <c r="N52" i="8"/>
  <c r="Q52" i="8"/>
  <c r="H23" i="8"/>
  <c r="N47" i="7"/>
  <c r="Q48" i="7"/>
  <c r="J41" i="7"/>
  <c r="I43" i="8"/>
  <c r="N43" i="8"/>
  <c r="F41" i="8"/>
  <c r="I41" i="8"/>
  <c r="O6" i="8"/>
  <c r="Q32" i="7"/>
  <c r="I42" i="7"/>
  <c r="R31" i="7"/>
  <c r="Q23" i="8"/>
  <c r="Q64" i="7"/>
  <c r="R64" i="7"/>
  <c r="Q57" i="7"/>
  <c r="R57" i="7"/>
  <c r="G37" i="7"/>
  <c r="H37" i="7"/>
  <c r="C10" i="7"/>
  <c r="C40" i="7"/>
  <c r="C69" i="7"/>
  <c r="H43" i="8"/>
  <c r="Q31" i="8"/>
  <c r="P31" i="8"/>
  <c r="R60" i="7"/>
  <c r="Q60" i="7"/>
  <c r="H15" i="8"/>
  <c r="F15" i="8"/>
  <c r="G15" i="8"/>
  <c r="H21" i="8"/>
  <c r="O21" i="8"/>
  <c r="I21" i="8"/>
  <c r="H24" i="8"/>
  <c r="I24" i="8"/>
  <c r="G29" i="8"/>
  <c r="F29" i="8"/>
  <c r="E28" i="8"/>
  <c r="H29" i="8"/>
  <c r="O29" i="8"/>
  <c r="H36" i="8"/>
  <c r="O36" i="8"/>
  <c r="I36" i="8"/>
  <c r="E34" i="8"/>
  <c r="H20" i="8"/>
  <c r="N20" i="8"/>
  <c r="Q20" i="8"/>
  <c r="G6" i="8"/>
  <c r="I6" i="8"/>
  <c r="Q10" i="8"/>
  <c r="R48" i="7"/>
  <c r="P47" i="7"/>
  <c r="R12" i="7"/>
  <c r="M30" i="7"/>
  <c r="R54" i="7"/>
  <c r="Q54" i="7"/>
  <c r="M47" i="7"/>
  <c r="P37" i="7"/>
  <c r="Q37" i="7"/>
  <c r="M37" i="7"/>
  <c r="R21" i="7"/>
  <c r="P56" i="8"/>
  <c r="P46" i="8"/>
  <c r="H41" i="8"/>
  <c r="G36" i="8"/>
  <c r="G24" i="8"/>
  <c r="C11" i="8"/>
  <c r="C40" i="8"/>
  <c r="Q56" i="7"/>
  <c r="O47" i="7"/>
  <c r="P48" i="8"/>
  <c r="R36" i="7"/>
  <c r="Q36" i="7"/>
  <c r="H14" i="7"/>
  <c r="I14" i="7"/>
  <c r="M34" i="7"/>
  <c r="L33" i="8"/>
  <c r="M33" i="8"/>
  <c r="N33" i="8"/>
  <c r="L11" i="8"/>
  <c r="I13" i="8"/>
  <c r="G13" i="8"/>
  <c r="O13" i="8"/>
  <c r="H13" i="8"/>
  <c r="F6" i="8"/>
  <c r="P7" i="8"/>
  <c r="O15" i="8"/>
  <c r="O11" i="8"/>
  <c r="Q49" i="8"/>
  <c r="H17" i="7"/>
  <c r="P34" i="7"/>
  <c r="O43" i="7"/>
  <c r="Q43" i="7"/>
  <c r="P17" i="7"/>
  <c r="Q46" i="7"/>
  <c r="Q53" i="7"/>
  <c r="R53" i="7"/>
  <c r="H24" i="7"/>
  <c r="R11" i="7"/>
  <c r="Q11" i="7"/>
  <c r="F10" i="7"/>
  <c r="J17" i="7"/>
  <c r="P17" i="8"/>
  <c r="P14" i="7"/>
  <c r="N14" i="7"/>
  <c r="L10" i="7"/>
  <c r="G41" i="8"/>
  <c r="P38" i="8"/>
  <c r="Q38" i="8"/>
  <c r="F36" i="8"/>
  <c r="M34" i="8"/>
  <c r="L34" i="8"/>
  <c r="J28" i="8"/>
  <c r="L28" i="8"/>
  <c r="O24" i="8"/>
  <c r="F24" i="8"/>
  <c r="G21" i="8"/>
  <c r="I20" i="8"/>
  <c r="Q16" i="8"/>
  <c r="P16" i="8"/>
  <c r="O14" i="7"/>
  <c r="D10" i="7"/>
  <c r="M22" i="7"/>
  <c r="P22" i="7"/>
  <c r="M8" i="8"/>
  <c r="J6" i="8"/>
  <c r="L8" i="8"/>
  <c r="L41" i="8"/>
  <c r="M41" i="8"/>
  <c r="I8" i="8"/>
  <c r="G8" i="8"/>
  <c r="D40" i="8"/>
  <c r="D42" i="8"/>
  <c r="D51" i="8"/>
  <c r="D58" i="8"/>
  <c r="H44" i="8"/>
  <c r="G44" i="8"/>
  <c r="I44" i="8"/>
  <c r="O44" i="8"/>
  <c r="L42" i="7"/>
  <c r="N43" i="7"/>
  <c r="K24" i="7"/>
  <c r="O24" i="7"/>
  <c r="Q24" i="7"/>
  <c r="R23" i="7"/>
  <c r="Q23" i="7"/>
  <c r="Q15" i="7"/>
  <c r="R15" i="7"/>
  <c r="P20" i="8"/>
  <c r="H7" i="8"/>
  <c r="G7" i="8"/>
  <c r="H22" i="8"/>
  <c r="O22" i="8"/>
  <c r="H26" i="8"/>
  <c r="O26" i="8"/>
  <c r="H32" i="8"/>
  <c r="O32" i="8"/>
  <c r="F7" i="8"/>
  <c r="P39" i="8"/>
  <c r="H11" i="7"/>
  <c r="Q35" i="7"/>
  <c r="K42" i="7"/>
  <c r="Q38" i="7"/>
  <c r="Q28" i="7"/>
  <c r="G26" i="7"/>
  <c r="G24" i="7"/>
  <c r="H26" i="7"/>
  <c r="I21" i="7"/>
  <c r="G21" i="7"/>
  <c r="I32" i="8"/>
  <c r="F26" i="8"/>
  <c r="F22" i="8"/>
  <c r="H9" i="8"/>
  <c r="H52" i="8"/>
  <c r="I10" i="8"/>
  <c r="I27" i="8"/>
  <c r="O27" i="8"/>
  <c r="E42" i="7"/>
  <c r="N24" i="7"/>
  <c r="Q26" i="7"/>
  <c r="R26" i="7"/>
  <c r="P52" i="8"/>
  <c r="P8" i="8"/>
  <c r="M28" i="8"/>
  <c r="F11" i="8"/>
  <c r="Q25" i="8"/>
  <c r="P25" i="8"/>
  <c r="P18" i="8"/>
  <c r="Q18" i="8"/>
  <c r="E41" i="7"/>
  <c r="G42" i="7"/>
  <c r="P32" i="8"/>
  <c r="Q32" i="8"/>
  <c r="Q22" i="8"/>
  <c r="P22" i="8"/>
  <c r="P44" i="8"/>
  <c r="Q44" i="8"/>
  <c r="R22" i="7"/>
  <c r="Q22" i="7"/>
  <c r="K51" i="8"/>
  <c r="P15" i="8"/>
  <c r="Q15" i="8"/>
  <c r="P13" i="8"/>
  <c r="Q13" i="8"/>
  <c r="Q33" i="8"/>
  <c r="P33" i="8"/>
  <c r="C42" i="8"/>
  <c r="Q43" i="8"/>
  <c r="P43" i="8"/>
  <c r="Q27" i="8"/>
  <c r="P27" i="8"/>
  <c r="P24" i="8"/>
  <c r="Q24" i="8"/>
  <c r="P10" i="7"/>
  <c r="M10" i="7"/>
  <c r="L40" i="7"/>
  <c r="N10" i="7"/>
  <c r="R17" i="7"/>
  <c r="Q17" i="7"/>
  <c r="P36" i="8"/>
  <c r="Q36" i="8"/>
  <c r="O28" i="8"/>
  <c r="I28" i="8"/>
  <c r="H28" i="8"/>
  <c r="G28" i="8"/>
  <c r="F28" i="8"/>
  <c r="E40" i="8"/>
  <c r="R24" i="7"/>
  <c r="K40" i="7"/>
  <c r="Q26" i="8"/>
  <c r="P26" i="8"/>
  <c r="J40" i="8"/>
  <c r="L6" i="8"/>
  <c r="M6" i="8"/>
  <c r="N6" i="8"/>
  <c r="P6" i="8"/>
  <c r="D40" i="7"/>
  <c r="O10" i="7"/>
  <c r="J10" i="7"/>
  <c r="H10" i="7"/>
  <c r="I10" i="7"/>
  <c r="F40" i="7"/>
  <c r="G10" i="7"/>
  <c r="R47" i="7"/>
  <c r="M24" i="7"/>
  <c r="R43" i="7"/>
  <c r="H42" i="7"/>
  <c r="K41" i="7"/>
  <c r="O42" i="7"/>
  <c r="N42" i="7"/>
  <c r="L41" i="7"/>
  <c r="M42" i="7"/>
  <c r="P42" i="7"/>
  <c r="Q14" i="7"/>
  <c r="R14" i="7"/>
  <c r="Q47" i="7"/>
  <c r="R34" i="7"/>
  <c r="Q34" i="7"/>
  <c r="N11" i="8"/>
  <c r="P11" i="8"/>
  <c r="I11" i="8"/>
  <c r="I34" i="8"/>
  <c r="O34" i="8"/>
  <c r="H34" i="8"/>
  <c r="G34" i="8"/>
  <c r="F34" i="8"/>
  <c r="P29" i="8"/>
  <c r="Q29" i="8"/>
  <c r="P21" i="8"/>
  <c r="Q21" i="8"/>
  <c r="H11" i="8"/>
  <c r="N28" i="8"/>
  <c r="Q6" i="8"/>
  <c r="Q11" i="8"/>
  <c r="L66" i="7"/>
  <c r="N41" i="7"/>
  <c r="M41" i="7"/>
  <c r="P41" i="7"/>
  <c r="P28" i="8"/>
  <c r="Q28" i="8"/>
  <c r="R10" i="7"/>
  <c r="Q10" i="7"/>
  <c r="J40" i="7"/>
  <c r="G40" i="7"/>
  <c r="I40" i="7"/>
  <c r="F66" i="7"/>
  <c r="H40" i="7"/>
  <c r="N42" i="8"/>
  <c r="C51" i="8"/>
  <c r="H41" i="7"/>
  <c r="G41" i="7"/>
  <c r="E66" i="7"/>
  <c r="E69" i="7"/>
  <c r="R42" i="7"/>
  <c r="Q42" i="7"/>
  <c r="O40" i="7"/>
  <c r="D66" i="7"/>
  <c r="D69" i="7"/>
  <c r="J42" i="8"/>
  <c r="M40" i="8"/>
  <c r="L40" i="8"/>
  <c r="N40" i="7"/>
  <c r="M40" i="7"/>
  <c r="P40" i="7"/>
  <c r="N40" i="8"/>
  <c r="Q34" i="8"/>
  <c r="P34" i="8"/>
  <c r="K66" i="7"/>
  <c r="K69" i="7"/>
  <c r="O41" i="7"/>
  <c r="E42" i="8"/>
  <c r="I40" i="8"/>
  <c r="H40" i="8"/>
  <c r="G40" i="8"/>
  <c r="O40" i="8"/>
  <c r="F40" i="8"/>
  <c r="K58" i="8"/>
  <c r="O66" i="7"/>
  <c r="O69" i="7"/>
  <c r="Q40" i="8"/>
  <c r="P40" i="8"/>
  <c r="I42" i="8"/>
  <c r="G42" i="8"/>
  <c r="E51" i="8"/>
  <c r="H42" i="8"/>
  <c r="F42" i="8"/>
  <c r="O42" i="8"/>
  <c r="L69" i="7"/>
  <c r="N66" i="7"/>
  <c r="M66" i="7"/>
  <c r="R40" i="7"/>
  <c r="Q40" i="7"/>
  <c r="F69" i="7"/>
  <c r="G66" i="7"/>
  <c r="H66" i="7"/>
  <c r="J66" i="7"/>
  <c r="I66" i="7"/>
  <c r="Q41" i="7"/>
  <c r="P66" i="7"/>
  <c r="R41" i="7"/>
  <c r="J51" i="8"/>
  <c r="N51" i="8"/>
  <c r="M42" i="8"/>
  <c r="L42" i="8"/>
  <c r="L51" i="8"/>
  <c r="C58" i="8"/>
  <c r="Q66" i="7"/>
  <c r="R66" i="7"/>
  <c r="P69" i="7"/>
  <c r="N69" i="7"/>
  <c r="M69" i="7"/>
  <c r="G51" i="8"/>
  <c r="I51" i="8"/>
  <c r="O51" i="8"/>
  <c r="F51" i="8"/>
  <c r="E58" i="8"/>
  <c r="H51" i="8"/>
  <c r="J58" i="8"/>
  <c r="N58" i="8"/>
  <c r="M51" i="8"/>
  <c r="I69" i="7"/>
  <c r="J69" i="7"/>
  <c r="H69" i="7"/>
  <c r="G69" i="7"/>
  <c r="P42" i="8"/>
  <c r="Q42" i="8"/>
  <c r="I58" i="8"/>
  <c r="H58" i="8"/>
  <c r="F58" i="8"/>
  <c r="G58" i="8"/>
  <c r="O58" i="8"/>
  <c r="L58" i="8"/>
  <c r="M58" i="8"/>
  <c r="Q51" i="8"/>
  <c r="P51" i="8"/>
  <c r="R69" i="7"/>
  <c r="Q69" i="7"/>
  <c r="Q58" i="8"/>
  <c r="P58" i="8"/>
</calcChain>
</file>

<file path=xl/sharedStrings.xml><?xml version="1.0" encoding="utf-8"?>
<sst xmlns="http://schemas.openxmlformats.org/spreadsheetml/2006/main" count="257" uniqueCount="221">
  <si>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</si>
  <si>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</si>
  <si>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</si>
  <si>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</si>
  <si>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</si>
  <si>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</si>
  <si>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</si>
  <si>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</si>
  <si>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</si>
  <si>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</si>
  <si>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</si>
  <si>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</si>
  <si>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</si>
  <si>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</si>
  <si>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</si>
  <si>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</si>
  <si>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</si>
  <si>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</si>
  <si>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</si>
  <si>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</si>
  <si>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</si>
  <si>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</si>
  <si>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</si>
  <si>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</si>
  <si>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</si>
  <si>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</si>
  <si>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</si>
  <si>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</si>
  <si>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</si>
  <si>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</si>
  <si>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</si>
  <si>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</si>
  <si>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</si>
  <si>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</si>
  <si>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</si>
  <si>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</si>
  <si>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</si>
  <si>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</si>
  <si>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</si>
  <si>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</si>
  <si>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</si>
  <si>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</si>
  <si>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</si>
  <si>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</si>
  <si>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</si>
  <si>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</si>
  <si>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</si>
  <si>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</si>
  <si>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</si>
  <si>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</si>
  <si>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</si>
  <si>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</si>
  <si>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</si>
  <si>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</si>
  <si>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</si>
  <si>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</si>
  <si>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</si>
  <si>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</si>
  <si>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</si>
  <si>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</si>
  <si>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</si>
  <si>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</si>
  <si>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</si>
  <si>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</si>
  <si>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</si>
  <si>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</si>
  <si>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</si>
  <si>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</si>
  <si>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</si>
  <si>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</si>
  <si>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</si>
  <si>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</si>
  <si>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</si>
  <si>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</si>
  <si>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</si>
  <si>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</si>
  <si>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</si>
  <si>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</si>
  <si>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</si>
  <si>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</si>
  <si>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</si>
  <si>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</si>
  <si>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</si>
  <si>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</si>
  <si>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</si>
  <si>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</si>
  <si>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</si>
  <si>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</si>
  <si>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</si>
  <si>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</si>
  <si>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</si>
  <si>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</si>
  <si>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</si>
  <si>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</si>
  <si>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</si>
  <si>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</si>
  <si>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</si>
  <si>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</si>
  <si>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</si>
  <si>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</si>
  <si>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</si>
  <si>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</si>
  <si>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</si>
  <si>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</si>
  <si>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</si>
  <si>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</si>
  <si>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</si>
  <si>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</si>
  <si>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</si>
  <si>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</si>
  <si>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</si>
  <si>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</si>
  <si>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</si>
  <si>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</si>
  <si>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</si>
  <si>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</si>
  <si>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</si>
  <si>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</si>
  <si>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</si>
  <si>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</si>
  <si>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</si>
  <si>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</si>
  <si>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</si>
  <si>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</si>
  <si>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</si>
  <si>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</si>
  <si>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</si>
  <si>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</si>
  <si>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</si>
  <si>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</si>
  <si>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</si>
  <si>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</si>
  <si>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</si>
  <si>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</si>
  <si>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</si>
  <si>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</si>
  <si>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</si>
  <si>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</si>
  <si>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</si>
  <si>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</si>
  <si>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</si>
  <si>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</si>
  <si>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</si>
  <si>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Інші програми, заклади та заходи у сфері освіти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</si>
  <si>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</si>
  <si>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</si>
  <si>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</si>
  <si>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</si>
  <si>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</si>
  <si>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</si>
  <si>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</si>
  <si>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</si>
  <si>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</si>
  <si>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</si>
  <si>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</si>
  <si>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</si>
  <si>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</si>
  <si>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3040</t>
  </si>
  <si>
    <t>Надання допомоги сім'ям з дітьми, малозабезпеченим сім’ям, тимчасової допомоги дітям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</si>
  <si>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</si>
  <si>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</si>
  <si>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</si>
  <si>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</si>
  <si>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</si>
  <si>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</si>
  <si>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</si>
  <si>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</si>
  <si>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</si>
  <si>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</si>
  <si>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</si>
  <si>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</si>
  <si>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</si>
  <si>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</si>
  <si>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</si>
  <si>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</si>
  <si>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</si>
  <si>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</si>
  <si>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</si>
  <si>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</si>
  <si>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</si>
  <si>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</si>
  <si>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</si>
  <si>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</si>
  <si>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</si>
  <si>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</si>
  <si>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</si>
  <si>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</si>
  <si>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</si>
  <si>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</si>
  <si>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</si>
  <si>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</si>
  <si>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</si>
  <si>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</si>
  <si>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41039100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</si>
  <si>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</si>
  <si>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</si>
  <si>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</si>
  <si>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обласною радою  на 2024 рік із урахуванням змін</t>
  </si>
  <si>
    <t>Процент виконання до плану 2024 року</t>
  </si>
  <si>
    <t>Затверджено обласною радою  на 2024 рік із урахуванням змін (кошторисні призначення)</t>
  </si>
  <si>
    <t>Затверджено обласною радою на 2024 рік із урахуванням змін</t>
  </si>
  <si>
    <t>Затверджено обласною радою на 2024 рік із урахуванням змін (кошторисні призначення)</t>
  </si>
  <si>
    <t>Затверджено місцевими радами на 2024 рік з урахуванням змін (кошторисні призначення)</t>
  </si>
  <si>
    <t>42000000</t>
  </si>
  <si>
    <t>Від Європейського Союзу, урядів іноземних держав, міжнародних організацій, донорських установ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</si>
  <si>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</si>
  <si>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</si>
  <si>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</si>
  <si>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</si>
  <si>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41031900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</si>
  <si>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</si>
  <si>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</t>
  </si>
  <si>
    <t>(по шифровому звіту)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</si>
  <si>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</si>
  <si>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</si>
  <si>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за січень-листопад 2024 року</t>
  </si>
  <si>
    <t>План на січень-листопад 2024 року</t>
  </si>
  <si>
    <t>Відхилення до плану на січень-листопад 2024 року (+/-)</t>
  </si>
  <si>
    <t xml:space="preserve">Процент виконання до плану на січень-листопад 2024 року </t>
  </si>
  <si>
    <t>Надання внутрішніх кредитів</t>
  </si>
  <si>
    <t>Повернення внутрішніх кредитів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</si>
</sst>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  <numFmt numFmtId="212" formatCode="#,##0.0_ ;\-#,##0.0\ "/>
  </numFmts>
  <fonts count="8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4"/>
      <color rgb="FFFF0000"/>
      <name val="Times New Roman"/>
      <family val="1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 Cyr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sz val="14"/>
      <color theme="1"/>
      <name val="Times New Roman CYR"/>
      <family val="1"/>
      <charset val="204"/>
    </font>
    <font>
      <b/>
      <sz val="10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000000"/>
      <name val="Tahoma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2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5" fillId="0" borderId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7" borderId="1" applyNumberFormat="0" applyAlignment="0" applyProtection="0"/>
    <xf numFmtId="9" fontId="1" fillId="0" borderId="0" applyFont="0" applyFill="0" applyBorder="0" applyAlignment="0" applyProtection="0"/>
    <xf numFmtId="0" fontId="44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45" fillId="0" borderId="0"/>
    <xf numFmtId="0" fontId="55" fillId="0" borderId="0"/>
    <xf numFmtId="0" fontId="32" fillId="0" borderId="0"/>
    <xf numFmtId="0" fontId="56" fillId="0" borderId="0"/>
    <xf numFmtId="0" fontId="82" fillId="0" borderId="0"/>
    <xf numFmtId="0" fontId="42" fillId="0" borderId="5" applyNumberFormat="0" applyFill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56" fillId="0" borderId="0"/>
    <xf numFmtId="0" fontId="45" fillId="0" borderId="0"/>
    <xf numFmtId="0" fontId="57" fillId="0" borderId="0"/>
    <xf numFmtId="0" fontId="50" fillId="0" borderId="0"/>
    <xf numFmtId="0" fontId="2" fillId="0" borderId="0"/>
    <xf numFmtId="0" fontId="3" fillId="0" borderId="0"/>
    <xf numFmtId="0" fontId="3" fillId="0" borderId="0"/>
    <xf numFmtId="0" fontId="36" fillId="22" borderId="7" applyNumberFormat="0" applyFont="0" applyAlignment="0" applyProtection="0"/>
    <xf numFmtId="0" fontId="41" fillId="21" borderId="0" applyNumberFormat="0" applyBorder="0" applyAlignment="0" applyProtection="0"/>
    <xf numFmtId="0" fontId="46" fillId="0" borderId="0"/>
    <xf numFmtId="0" fontId="43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8" xfId="63" applyFont="1" applyFill="1" applyBorder="1" applyAlignment="1" applyProtection="1">
      <alignment horizontal="center" vertical="center" wrapText="1"/>
    </xf>
    <xf numFmtId="0" fontId="8" fillId="0" borderId="0" xfId="63" applyFont="1" applyFill="1" applyProtection="1"/>
    <xf numFmtId="0" fontId="5" fillId="0" borderId="0" xfId="63" applyFont="1" applyFill="1" applyAlignment="1" applyProtection="1">
      <alignment horizontal="left" vertical="center"/>
    </xf>
    <xf numFmtId="0" fontId="10" fillId="0" borderId="9" xfId="63" applyFont="1" applyFill="1" applyBorder="1" applyAlignment="1" applyProtection="1">
      <alignment horizontal="centerContinuous" vertical="center" wrapText="1"/>
    </xf>
    <xf numFmtId="0" fontId="21" fillId="0" borderId="0" xfId="63" applyFont="1" applyFill="1" applyAlignment="1" applyProtection="1"/>
    <xf numFmtId="0" fontId="18" fillId="0" borderId="0" xfId="63" applyFont="1" applyFill="1" applyAlignment="1" applyProtection="1"/>
    <xf numFmtId="0" fontId="22" fillId="0" borderId="0" xfId="63" applyFont="1" applyFill="1" applyProtection="1"/>
    <xf numFmtId="191" fontId="30" fillId="0" borderId="8" xfId="0" applyNumberFormat="1" applyFont="1" applyFill="1" applyBorder="1" applyAlignment="1">
      <alignment vertical="center"/>
    </xf>
    <xf numFmtId="191" fontId="14" fillId="0" borderId="8" xfId="63" applyNumberFormat="1" applyFont="1" applyFill="1" applyBorder="1" applyProtection="1">
      <protection locked="0"/>
    </xf>
    <xf numFmtId="0" fontId="6" fillId="0" borderId="8" xfId="63" applyFont="1" applyFill="1" applyBorder="1" applyAlignment="1" applyProtection="1">
      <alignment horizontal="center" vertical="center" wrapText="1"/>
    </xf>
    <xf numFmtId="191" fontId="9" fillId="0" borderId="8" xfId="63" applyNumberFormat="1" applyFont="1" applyFill="1" applyBorder="1" applyProtection="1"/>
    <xf numFmtId="191" fontId="9" fillId="0" borderId="8" xfId="63" applyNumberFormat="1" applyFont="1" applyFill="1" applyBorder="1" applyProtection="1">
      <protection locked="0"/>
    </xf>
    <xf numFmtId="0" fontId="7" fillId="0" borderId="8" xfId="63" applyFont="1" applyFill="1" applyBorder="1" applyAlignment="1" applyProtection="1">
      <alignment vertical="center" wrapText="1"/>
    </xf>
    <xf numFmtId="191" fontId="13" fillId="0" borderId="8" xfId="63" applyNumberFormat="1" applyFont="1" applyFill="1" applyBorder="1" applyProtection="1">
      <protection locked="0"/>
    </xf>
    <xf numFmtId="191" fontId="17" fillId="0" borderId="8" xfId="63" applyNumberFormat="1" applyFont="1" applyFill="1" applyBorder="1" applyProtection="1">
      <protection locked="0"/>
    </xf>
    <xf numFmtId="191" fontId="27" fillId="0" borderId="0" xfId="63" applyNumberFormat="1" applyFont="1" applyFill="1" applyBorder="1" applyProtection="1"/>
    <xf numFmtId="191" fontId="28" fillId="0" borderId="0" xfId="63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3" applyFont="1" applyFill="1" applyProtection="1"/>
    <xf numFmtId="0" fontId="2" fillId="0" borderId="0" xfId="63" applyFont="1" applyFill="1" applyProtection="1"/>
    <xf numFmtId="0" fontId="24" fillId="0" borderId="0" xfId="63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3" applyNumberFormat="1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Continuous" vertical="center" wrapText="1"/>
    </xf>
    <xf numFmtId="0" fontId="12" fillId="0" borderId="8" xfId="63" applyFont="1" applyFill="1" applyBorder="1" applyAlignment="1" applyProtection="1">
      <alignment horizontal="centerContinuous" vertical="center" wrapText="1"/>
    </xf>
    <xf numFmtId="0" fontId="12" fillId="0" borderId="10" xfId="0" applyFont="1" applyFill="1" applyBorder="1" applyAlignment="1" applyProtection="1">
      <alignment horizontal="centerContinuous" vertical="center" wrapText="1"/>
    </xf>
    <xf numFmtId="0" fontId="12" fillId="0" borderId="9" xfId="0" applyFont="1" applyFill="1" applyBorder="1" applyAlignment="1" applyProtection="1">
      <alignment horizontal="centerContinuous" vertical="center" wrapText="1"/>
    </xf>
    <xf numFmtId="0" fontId="20" fillId="0" borderId="0" xfId="63" applyFont="1" applyFill="1" applyAlignment="1" applyProtection="1"/>
    <xf numFmtId="0" fontId="19" fillId="0" borderId="0" xfId="64" applyFont="1" applyFill="1" applyAlignment="1" applyProtection="1"/>
    <xf numFmtId="0" fontId="12" fillId="0" borderId="8" xfId="63" applyFont="1" applyFill="1" applyBorder="1" applyAlignment="1" applyProtection="1">
      <alignment horizontal="center" vertical="top" wrapText="1"/>
    </xf>
    <xf numFmtId="49" fontId="12" fillId="0" borderId="11" xfId="63" applyNumberFormat="1" applyFont="1" applyFill="1" applyBorder="1" applyAlignment="1" applyProtection="1">
      <alignment horizontal="center" vertical="top" wrapText="1"/>
    </xf>
    <xf numFmtId="0" fontId="26" fillId="0" borderId="0" xfId="63" applyFont="1" applyFill="1" applyProtection="1"/>
    <xf numFmtId="0" fontId="11" fillId="0" borderId="0" xfId="63" applyFont="1" applyFill="1" applyProtection="1"/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3" applyNumberFormat="1" applyFont="1" applyFill="1" applyBorder="1" applyAlignment="1" applyProtection="1">
      <alignment horizontal="center" vertical="center" wrapText="1"/>
    </xf>
    <xf numFmtId="191" fontId="29" fillId="0" borderId="0" xfId="0" applyNumberFormat="1" applyFont="1" applyFill="1" applyBorder="1" applyAlignment="1">
      <alignment horizontal="center" vertical="center"/>
    </xf>
    <xf numFmtId="0" fontId="31" fillId="0" borderId="0" xfId="63" applyFont="1" applyFill="1" applyProtection="1"/>
    <xf numFmtId="191" fontId="8" fillId="0" borderId="0" xfId="63" applyNumberFormat="1" applyFont="1" applyFill="1" applyBorder="1" applyAlignment="1" applyProtection="1">
      <alignment horizontal="center" vertical="center" wrapText="1"/>
    </xf>
    <xf numFmtId="191" fontId="8" fillId="0" borderId="0" xfId="63" applyNumberFormat="1" applyFont="1" applyFill="1" applyBorder="1" applyAlignment="1" applyProtection="1">
      <alignment wrapText="1"/>
    </xf>
    <xf numFmtId="191" fontId="8" fillId="0" borderId="0" xfId="63" applyNumberFormat="1" applyFont="1" applyFill="1" applyBorder="1" applyAlignment="1" applyProtection="1">
      <alignment horizontal="center"/>
    </xf>
    <xf numFmtId="191" fontId="8" fillId="0" borderId="0" xfId="63" applyNumberFormat="1" applyFont="1" applyFill="1" applyAlignment="1" applyProtection="1">
      <alignment wrapText="1"/>
    </xf>
    <xf numFmtId="191" fontId="8" fillId="0" borderId="0" xfId="63" applyNumberFormat="1" applyFont="1" applyFill="1" applyAlignment="1" applyProtection="1">
      <alignment horizontal="center"/>
    </xf>
    <xf numFmtId="0" fontId="8" fillId="0" borderId="0" xfId="63" applyFont="1" applyFill="1" applyAlignment="1" applyProtection="1">
      <alignment wrapText="1"/>
    </xf>
    <xf numFmtId="0" fontId="8" fillId="0" borderId="0" xfId="63" applyFont="1" applyFill="1" applyAlignment="1" applyProtection="1">
      <alignment horizontal="center"/>
    </xf>
    <xf numFmtId="0" fontId="8" fillId="23" borderId="0" xfId="63" applyFont="1" applyFill="1" applyProtection="1"/>
    <xf numFmtId="0" fontId="25" fillId="23" borderId="0" xfId="63" applyFont="1" applyFill="1" applyProtection="1"/>
    <xf numFmtId="200" fontId="25" fillId="23" borderId="0" xfId="63" applyNumberFormat="1" applyFont="1" applyFill="1" applyProtection="1"/>
    <xf numFmtId="0" fontId="2" fillId="23" borderId="0" xfId="63" applyFont="1" applyFill="1" applyProtection="1"/>
    <xf numFmtId="0" fontId="22" fillId="23" borderId="0" xfId="63" applyFont="1" applyFill="1" applyProtection="1"/>
    <xf numFmtId="0" fontId="8" fillId="24" borderId="0" xfId="63" applyFont="1" applyFill="1" applyProtection="1"/>
    <xf numFmtId="0" fontId="8" fillId="24" borderId="8" xfId="63" applyFont="1" applyFill="1" applyBorder="1" applyAlignment="1" applyProtection="1">
      <alignment horizontal="center" vertical="center"/>
    </xf>
    <xf numFmtId="0" fontId="12" fillId="24" borderId="8" xfId="63" applyFont="1" applyFill="1" applyBorder="1" applyAlignment="1" applyProtection="1">
      <alignment horizontal="center" vertical="top" wrapText="1"/>
    </xf>
    <xf numFmtId="0" fontId="6" fillId="24" borderId="8" xfId="63" applyFont="1" applyFill="1" applyBorder="1" applyAlignment="1" applyProtection="1">
      <alignment horizontal="center" vertical="center"/>
    </xf>
    <xf numFmtId="0" fontId="11" fillId="24" borderId="8" xfId="63" applyFont="1" applyFill="1" applyBorder="1" applyAlignment="1" applyProtection="1">
      <alignment horizontal="center" vertical="center"/>
    </xf>
    <xf numFmtId="4" fontId="22" fillId="0" borderId="0" xfId="63" applyNumberFormat="1" applyFont="1" applyFill="1" applyProtection="1"/>
    <xf numFmtId="4" fontId="31" fillId="0" borderId="0" xfId="63" applyNumberFormat="1" applyFont="1" applyFill="1" applyProtection="1"/>
    <xf numFmtId="191" fontId="35" fillId="0" borderId="8" xfId="0" applyNumberFormat="1" applyFont="1" applyFill="1" applyBorder="1" applyAlignment="1">
      <alignment vertical="center"/>
    </xf>
    <xf numFmtId="0" fontId="6" fillId="0" borderId="0" xfId="63" applyFont="1" applyFill="1" applyProtection="1"/>
    <xf numFmtId="1" fontId="8" fillId="0" borderId="0" xfId="63" applyNumberFormat="1" applyFont="1" applyFill="1" applyBorder="1" applyAlignment="1" applyProtection="1">
      <alignment horizontal="center"/>
    </xf>
    <xf numFmtId="200" fontId="8" fillId="0" borderId="0" xfId="63" applyNumberFormat="1" applyFont="1" applyFill="1" applyProtection="1"/>
    <xf numFmtId="0" fontId="4" fillId="25" borderId="8" xfId="63" applyFont="1" applyFill="1" applyBorder="1" applyAlignment="1" applyProtection="1">
      <alignment horizontal="center" vertical="center"/>
    </xf>
    <xf numFmtId="0" fontId="4" fillId="25" borderId="8" xfId="63" applyFont="1" applyFill="1" applyBorder="1" applyAlignment="1" applyProtection="1">
      <alignment horizontal="center" vertical="center" wrapText="1"/>
    </xf>
    <xf numFmtId="191" fontId="4" fillId="25" borderId="8" xfId="63" applyNumberFormat="1" applyFont="1" applyFill="1" applyBorder="1" applyAlignment="1" applyProtection="1">
      <alignment horizontal="center"/>
    </xf>
    <xf numFmtId="49" fontId="12" fillId="28" borderId="8" xfId="63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3" applyNumberFormat="1" applyFont="1" applyFill="1" applyBorder="1" applyAlignment="1" applyProtection="1">
      <alignment horizontal="center"/>
    </xf>
    <xf numFmtId="200" fontId="4" fillId="0" borderId="8" xfId="63" applyNumberFormat="1" applyFont="1" applyFill="1" applyBorder="1" applyAlignment="1" applyProtection="1">
      <alignment horizontal="center"/>
    </xf>
    <xf numFmtId="200" fontId="4" fillId="28" borderId="12" xfId="63" applyNumberFormat="1" applyFont="1" applyFill="1" applyBorder="1" applyAlignment="1" applyProtection="1">
      <alignment horizontal="center"/>
    </xf>
    <xf numFmtId="200" fontId="4" fillId="0" borderId="11" xfId="63" applyNumberFormat="1" applyFont="1" applyFill="1" applyBorder="1" applyAlignment="1" applyProtection="1">
      <alignment horizontal="center"/>
    </xf>
    <xf numFmtId="200" fontId="4" fillId="25" borderId="8" xfId="63" applyNumberFormat="1" applyFont="1" applyFill="1" applyBorder="1" applyAlignment="1" applyProtection="1">
      <alignment horizontal="center"/>
    </xf>
    <xf numFmtId="200" fontId="33" fillId="0" borderId="8" xfId="63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3" fillId="0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0" fontId="4" fillId="0" borderId="8" xfId="63" applyNumberFormat="1" applyFont="1" applyFill="1" applyBorder="1" applyAlignment="1" applyProtection="1">
      <alignment horizontal="center"/>
      <protection locked="0"/>
    </xf>
    <xf numFmtId="0" fontId="8" fillId="0" borderId="8" xfId="63" applyFont="1" applyFill="1" applyBorder="1" applyAlignment="1" applyProtection="1">
      <alignment vertical="center" wrapText="1"/>
    </xf>
    <xf numFmtId="209" fontId="33" fillId="0" borderId="8" xfId="45" applyNumberFormat="1" applyFont="1" applyFill="1" applyBorder="1" applyAlignment="1" applyProtection="1">
      <alignment horizontal="center"/>
      <protection locked="0"/>
    </xf>
    <xf numFmtId="200" fontId="33" fillId="0" borderId="8" xfId="63" applyNumberFormat="1" applyFont="1" applyFill="1" applyBorder="1" applyAlignment="1" applyProtection="1">
      <alignment horizontal="center"/>
      <protection locked="0"/>
    </xf>
    <xf numFmtId="200" fontId="33" fillId="0" borderId="11" xfId="63" applyNumberFormat="1" applyFont="1" applyFill="1" applyBorder="1" applyAlignment="1" applyProtection="1">
      <alignment horizontal="center"/>
    </xf>
    <xf numFmtId="49" fontId="51" fillId="0" borderId="8" xfId="0" applyNumberFormat="1" applyFont="1" applyFill="1" applyBorder="1" applyAlignment="1">
      <alignment horizontal="center" vertical="center"/>
    </xf>
    <xf numFmtId="200" fontId="51" fillId="0" borderId="8" xfId="63" applyNumberFormat="1" applyFont="1" applyFill="1" applyBorder="1" applyAlignment="1" applyProtection="1">
      <alignment horizontal="center"/>
    </xf>
    <xf numFmtId="209" fontId="51" fillId="0" borderId="8" xfId="45" applyNumberFormat="1" applyFont="1" applyFill="1" applyBorder="1" applyAlignment="1" applyProtection="1">
      <alignment horizontal="center"/>
    </xf>
    <xf numFmtId="209" fontId="51" fillId="28" borderId="8" xfId="45" applyNumberFormat="1" applyFont="1" applyFill="1" applyBorder="1" applyAlignment="1" applyProtection="1">
      <alignment horizontal="center"/>
    </xf>
    <xf numFmtId="0" fontId="7" fillId="0" borderId="0" xfId="63" applyFont="1" applyFill="1" applyProtection="1"/>
    <xf numFmtId="0" fontId="53" fillId="0" borderId="0" xfId="63" applyFont="1" applyFill="1" applyProtection="1"/>
    <xf numFmtId="0" fontId="52" fillId="0" borderId="0" xfId="63" applyFont="1" applyFill="1" applyProtection="1"/>
    <xf numFmtId="0" fontId="53" fillId="23" borderId="0" xfId="63" applyFont="1" applyFill="1" applyProtection="1"/>
    <xf numFmtId="200" fontId="53" fillId="23" borderId="0" xfId="63" applyNumberFormat="1" applyFont="1" applyFill="1" applyProtection="1"/>
    <xf numFmtId="0" fontId="52" fillId="23" borderId="0" xfId="63" applyFont="1" applyFill="1" applyProtection="1"/>
    <xf numFmtId="0" fontId="7" fillId="24" borderId="8" xfId="63" applyFont="1" applyFill="1" applyBorder="1" applyAlignment="1" applyProtection="1">
      <alignment horizontal="center" vertical="center"/>
    </xf>
    <xf numFmtId="200" fontId="51" fillId="28" borderId="8" xfId="63" applyNumberFormat="1" applyFont="1" applyFill="1" applyBorder="1" applyAlignment="1" applyProtection="1">
      <alignment horizontal="center"/>
      <protection locked="0"/>
    </xf>
    <xf numFmtId="200" fontId="51" fillId="0" borderId="8" xfId="63" applyNumberFormat="1" applyFont="1" applyFill="1" applyBorder="1" applyAlignment="1" applyProtection="1">
      <alignment horizontal="center"/>
      <protection locked="0"/>
    </xf>
    <xf numFmtId="200" fontId="51" fillId="0" borderId="11" xfId="63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1" fillId="0" borderId="8" xfId="45" applyNumberFormat="1" applyFont="1" applyFill="1" applyBorder="1" applyAlignment="1" applyProtection="1">
      <alignment horizontal="center"/>
      <protection locked="0"/>
    </xf>
    <xf numFmtId="191" fontId="8" fillId="0" borderId="0" xfId="63" applyNumberFormat="1" applyFont="1" applyFill="1" applyProtection="1"/>
    <xf numFmtId="0" fontId="12" fillId="0" borderId="9" xfId="63" applyFont="1" applyFill="1" applyBorder="1" applyAlignment="1" applyProtection="1">
      <alignment horizontal="center" vertical="center" wrapText="1"/>
    </xf>
    <xf numFmtId="0" fontId="12" fillId="0" borderId="8" xfId="63" applyFont="1" applyFill="1" applyBorder="1" applyAlignment="1" applyProtection="1">
      <alignment horizontal="center" vertical="center" wrapText="1"/>
    </xf>
    <xf numFmtId="191" fontId="6" fillId="0" borderId="0" xfId="63" applyNumberFormat="1" applyFont="1" applyFill="1" applyBorder="1" applyAlignment="1" applyProtection="1">
      <alignment horizontal="centerContinuous" vertical="center"/>
    </xf>
    <xf numFmtId="200" fontId="8" fillId="0" borderId="0" xfId="63" applyNumberFormat="1" applyFont="1" applyFill="1" applyBorder="1" applyProtection="1"/>
    <xf numFmtId="191" fontId="8" fillId="0" borderId="0" xfId="63" applyNumberFormat="1" applyFont="1" applyFill="1" applyBorder="1" applyProtection="1"/>
    <xf numFmtId="0" fontId="8" fillId="0" borderId="0" xfId="63" applyFont="1" applyFill="1" applyBorder="1" applyProtection="1"/>
    <xf numFmtId="191" fontId="8" fillId="0" borderId="0" xfId="63" applyNumberFormat="1" applyFont="1" applyFill="1" applyBorder="1" applyAlignment="1" applyProtection="1">
      <alignment horizontal="centerContinuous" vertical="center"/>
    </xf>
    <xf numFmtId="0" fontId="8" fillId="0" borderId="0" xfId="63" applyFont="1" applyFill="1" applyBorder="1" applyAlignment="1" applyProtection="1">
      <alignment horizontal="centerContinuous" vertical="center"/>
    </xf>
    <xf numFmtId="200" fontId="8" fillId="24" borderId="0" xfId="63" applyNumberFormat="1" applyFont="1" applyFill="1" applyProtection="1"/>
    <xf numFmtId="0" fontId="12" fillId="24" borderId="13" xfId="0" applyFont="1" applyFill="1" applyBorder="1" applyAlignment="1" applyProtection="1">
      <alignment horizontal="center" vertical="center" wrapText="1"/>
    </xf>
    <xf numFmtId="200" fontId="33" fillId="28" borderId="8" xfId="63" applyNumberFormat="1" applyFont="1" applyFill="1" applyBorder="1" applyAlignment="1" applyProtection="1">
      <alignment horizontal="center"/>
      <protection locked="0"/>
    </xf>
    <xf numFmtId="200" fontId="4" fillId="24" borderId="8" xfId="63" applyNumberFormat="1" applyFont="1" applyFill="1" applyBorder="1" applyAlignment="1" applyProtection="1">
      <alignment horizontal="center"/>
      <protection locked="0"/>
    </xf>
    <xf numFmtId="191" fontId="8" fillId="28" borderId="0" xfId="63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63" applyFont="1" applyFill="1" applyProtection="1"/>
    <xf numFmtId="0" fontId="6" fillId="0" borderId="0" xfId="0" applyFont="1" applyFill="1" applyAlignment="1" applyProtection="1"/>
    <xf numFmtId="191" fontId="58" fillId="28" borderId="0" xfId="63" applyNumberFormat="1" applyFont="1" applyFill="1" applyProtection="1"/>
    <xf numFmtId="0" fontId="58" fillId="28" borderId="0" xfId="63" applyFont="1" applyFill="1" applyProtection="1"/>
    <xf numFmtId="4" fontId="58" fillId="28" borderId="0" xfId="63" applyNumberFormat="1" applyFont="1" applyFill="1" applyBorder="1" applyProtection="1"/>
    <xf numFmtId="4" fontId="58" fillId="29" borderId="0" xfId="63" applyNumberFormat="1" applyFont="1" applyFill="1" applyBorder="1" applyProtection="1"/>
    <xf numFmtId="200" fontId="58" fillId="28" borderId="0" xfId="63" applyNumberFormat="1" applyFont="1" applyFill="1" applyProtection="1"/>
    <xf numFmtId="0" fontId="58" fillId="28" borderId="0" xfId="63" applyFont="1" applyFill="1" applyBorder="1" applyProtection="1"/>
    <xf numFmtId="0" fontId="58" fillId="29" borderId="0" xfId="63" applyFont="1" applyFill="1" applyBorder="1" applyProtection="1"/>
    <xf numFmtId="0" fontId="58" fillId="29" borderId="0" xfId="63" applyFont="1" applyFill="1" applyProtection="1"/>
    <xf numFmtId="191" fontId="58" fillId="28" borderId="0" xfId="63" applyNumberFormat="1" applyFont="1" applyFill="1" applyBorder="1" applyProtection="1"/>
    <xf numFmtId="0" fontId="58" fillId="28" borderId="0" xfId="63" applyFont="1" applyFill="1" applyBorder="1" applyAlignment="1" applyProtection="1">
      <alignment horizontal="centerContinuous" vertical="center"/>
    </xf>
    <xf numFmtId="200" fontId="58" fillId="28" borderId="0" xfId="63" applyNumberFormat="1" applyFont="1" applyFill="1" applyBorder="1" applyAlignment="1" applyProtection="1">
      <alignment horizontal="centerContinuous" vertical="center"/>
    </xf>
    <xf numFmtId="0" fontId="59" fillId="29" borderId="0" xfId="63" applyFont="1" applyFill="1" applyBorder="1" applyProtection="1"/>
    <xf numFmtId="200" fontId="60" fillId="28" borderId="0" xfId="63" applyNumberFormat="1" applyFont="1" applyFill="1" applyAlignment="1" applyProtection="1">
      <alignment horizontal="left" vertical="center"/>
    </xf>
    <xf numFmtId="39" fontId="61" fillId="28" borderId="0" xfId="0" applyNumberFormat="1" applyFont="1" applyFill="1" applyBorder="1" applyAlignment="1">
      <alignment horizontal="right" vertical="center" wrapText="1"/>
    </xf>
    <xf numFmtId="191" fontId="62" fillId="28" borderId="0" xfId="0" applyNumberFormat="1" applyFont="1" applyFill="1" applyBorder="1" applyAlignment="1" applyProtection="1">
      <alignment vertical="center"/>
    </xf>
    <xf numFmtId="191" fontId="62" fillId="29" borderId="0" xfId="0" applyNumberFormat="1" applyFont="1" applyFill="1" applyBorder="1" applyAlignment="1" applyProtection="1">
      <alignment vertical="center"/>
    </xf>
    <xf numFmtId="4" fontId="63" fillId="29" borderId="8" xfId="0" applyNumberFormat="1" applyFont="1" applyFill="1" applyBorder="1" applyAlignment="1">
      <alignment vertical="center"/>
    </xf>
    <xf numFmtId="4" fontId="58" fillId="28" borderId="0" xfId="63" applyNumberFormat="1" applyFont="1" applyFill="1" applyProtection="1"/>
    <xf numFmtId="200" fontId="58" fillId="28" borderId="0" xfId="63" applyNumberFormat="1" applyFont="1" applyFill="1" applyBorder="1" applyProtection="1"/>
    <xf numFmtId="200" fontId="64" fillId="0" borderId="8" xfId="63" applyNumberFormat="1" applyFont="1" applyFill="1" applyBorder="1" applyAlignment="1" applyProtection="1">
      <alignment horizontal="center"/>
    </xf>
    <xf numFmtId="191" fontId="62" fillId="28" borderId="0" xfId="63" applyNumberFormat="1" applyFont="1" applyFill="1" applyBorder="1" applyAlignment="1" applyProtection="1">
      <alignment horizontal="centerContinuous" vertical="center"/>
    </xf>
    <xf numFmtId="191" fontId="58" fillId="28" borderId="0" xfId="63" applyNumberFormat="1" applyFont="1" applyFill="1" applyBorder="1" applyAlignment="1" applyProtection="1">
      <alignment horizontal="centerContinuous" vertical="center"/>
    </xf>
    <xf numFmtId="191" fontId="58" fillId="28" borderId="0" xfId="63" applyNumberFormat="1" applyFont="1" applyFill="1" applyBorder="1" applyAlignment="1" applyProtection="1">
      <alignment horizontal="center" vertical="center" wrapText="1"/>
    </xf>
    <xf numFmtId="191" fontId="58" fillId="29" borderId="0" xfId="63" applyNumberFormat="1" applyFont="1" applyFill="1" applyBorder="1" applyAlignment="1" applyProtection="1">
      <alignment horizontal="center"/>
    </xf>
    <xf numFmtId="191" fontId="58" fillId="29" borderId="0" xfId="63" applyNumberFormat="1" applyFont="1" applyFill="1" applyBorder="1" applyProtection="1"/>
    <xf numFmtId="200" fontId="65" fillId="29" borderId="0" xfId="63" applyNumberFormat="1" applyFont="1" applyFill="1" applyBorder="1" applyAlignment="1" applyProtection="1">
      <alignment horizontal="center"/>
    </xf>
    <xf numFmtId="200" fontId="66" fillId="27" borderId="0" xfId="63" applyNumberFormat="1" applyFont="1" applyFill="1" applyBorder="1" applyAlignment="1" applyProtection="1">
      <alignment horizontal="center"/>
    </xf>
    <xf numFmtId="200" fontId="66" fillId="29" borderId="0" xfId="63" applyNumberFormat="1" applyFont="1" applyFill="1" applyBorder="1" applyAlignment="1" applyProtection="1">
      <alignment horizontal="center"/>
    </xf>
    <xf numFmtId="191" fontId="58" fillId="29" borderId="0" xfId="63" applyNumberFormat="1" applyFont="1" applyFill="1" applyAlignment="1" applyProtection="1">
      <alignment horizontal="center"/>
    </xf>
    <xf numFmtId="191" fontId="58" fillId="29" borderId="0" xfId="63" applyNumberFormat="1" applyFont="1" applyFill="1" applyProtection="1"/>
    <xf numFmtId="0" fontId="58" fillId="29" borderId="0" xfId="63" applyFont="1" applyFill="1" applyAlignment="1" applyProtection="1">
      <alignment horizontal="center"/>
    </xf>
    <xf numFmtId="191" fontId="60" fillId="28" borderId="0" xfId="63" applyNumberFormat="1" applyFont="1" applyFill="1" applyAlignment="1" applyProtection="1">
      <alignment horizontal="left" vertical="center"/>
    </xf>
    <xf numFmtId="191" fontId="62" fillId="29" borderId="0" xfId="0" applyNumberFormat="1" applyFont="1" applyFill="1" applyAlignment="1" applyProtection="1"/>
    <xf numFmtId="0" fontId="67" fillId="28" borderId="9" xfId="63" applyFont="1" applyFill="1" applyBorder="1" applyAlignment="1" applyProtection="1">
      <alignment horizontal="center" vertical="center" wrapText="1"/>
    </xf>
    <xf numFmtId="191" fontId="67" fillId="28" borderId="13" xfId="63" applyNumberFormat="1" applyFont="1" applyFill="1" applyBorder="1" applyAlignment="1" applyProtection="1">
      <alignment horizontal="center" vertical="center" wrapText="1"/>
    </xf>
    <xf numFmtId="0" fontId="67" fillId="28" borderId="13" xfId="63" applyFont="1" applyFill="1" applyBorder="1" applyAlignment="1" applyProtection="1">
      <alignment horizontal="center" vertical="center" wrapText="1"/>
    </xf>
    <xf numFmtId="49" fontId="67" fillId="28" borderId="8" xfId="63" applyNumberFormat="1" applyFont="1" applyFill="1" applyBorder="1" applyAlignment="1" applyProtection="1">
      <alignment horizontal="center" vertical="top" wrapText="1"/>
    </xf>
    <xf numFmtId="191" fontId="67" fillId="28" borderId="8" xfId="63" applyNumberFormat="1" applyFont="1" applyFill="1" applyBorder="1" applyAlignment="1" applyProtection="1">
      <alignment horizontal="center" vertical="top" wrapText="1"/>
    </xf>
    <xf numFmtId="200" fontId="68" fillId="28" borderId="8" xfId="63" applyNumberFormat="1" applyFont="1" applyFill="1" applyBorder="1" applyAlignment="1" applyProtection="1">
      <alignment horizontal="center"/>
    </xf>
    <xf numFmtId="200" fontId="69" fillId="28" borderId="8" xfId="63" applyNumberFormat="1" applyFont="1" applyFill="1" applyBorder="1" applyAlignment="1" applyProtection="1">
      <alignment horizontal="center"/>
      <protection locked="0"/>
    </xf>
    <xf numFmtId="200" fontId="69" fillId="0" borderId="8" xfId="54" applyNumberFormat="1" applyFont="1" applyBorder="1" applyAlignment="1">
      <alignment horizontal="center"/>
    </xf>
    <xf numFmtId="200" fontId="70" fillId="28" borderId="8" xfId="63" applyNumberFormat="1" applyFont="1" applyFill="1" applyBorder="1" applyAlignment="1" applyProtection="1">
      <alignment horizontal="center"/>
      <protection locked="0"/>
    </xf>
    <xf numFmtId="191" fontId="70" fillId="28" borderId="8" xfId="63" applyNumberFormat="1" applyFont="1" applyFill="1" applyBorder="1" applyAlignment="1" applyProtection="1">
      <alignment horizontal="center"/>
      <protection locked="0"/>
    </xf>
    <xf numFmtId="191" fontId="68" fillId="28" borderId="8" xfId="63" applyNumberFormat="1" applyFont="1" applyFill="1" applyBorder="1" applyAlignment="1" applyProtection="1">
      <alignment horizontal="center"/>
    </xf>
    <xf numFmtId="191" fontId="69" fillId="28" borderId="8" xfId="63" applyNumberFormat="1" applyFont="1" applyFill="1" applyBorder="1" applyAlignment="1" applyProtection="1">
      <alignment horizontal="center"/>
      <protection locked="0"/>
    </xf>
    <xf numFmtId="191" fontId="68" fillId="0" borderId="8" xfId="54" applyNumberFormat="1" applyFont="1" applyBorder="1" applyAlignment="1">
      <alignment horizontal="center"/>
    </xf>
    <xf numFmtId="200" fontId="68" fillId="24" borderId="8" xfId="63" applyNumberFormat="1" applyFont="1" applyFill="1" applyBorder="1" applyAlignment="1" applyProtection="1">
      <alignment horizontal="center"/>
      <protection locked="0"/>
    </xf>
    <xf numFmtId="191" fontId="68" fillId="24" borderId="8" xfId="63" applyNumberFormat="1" applyFont="1" applyFill="1" applyBorder="1" applyAlignment="1" applyProtection="1">
      <alignment horizontal="center"/>
      <protection locked="0"/>
    </xf>
    <xf numFmtId="200" fontId="68" fillId="25" borderId="8" xfId="63" applyNumberFormat="1" applyFont="1" applyFill="1" applyBorder="1" applyAlignment="1" applyProtection="1">
      <alignment horizontal="center"/>
    </xf>
    <xf numFmtId="4" fontId="69" fillId="0" borderId="8" xfId="54" applyNumberFormat="1" applyFont="1" applyBorder="1" applyAlignment="1">
      <alignment horizontal="center"/>
    </xf>
    <xf numFmtId="0" fontId="67" fillId="28" borderId="8" xfId="0" applyFont="1" applyFill="1" applyBorder="1" applyAlignment="1" applyProtection="1">
      <alignment horizontal="centerContinuous" vertical="center" wrapText="1"/>
    </xf>
    <xf numFmtId="49" fontId="67" fillId="28" borderId="12" xfId="63" applyNumberFormat="1" applyFont="1" applyFill="1" applyBorder="1" applyAlignment="1" applyProtection="1">
      <alignment horizontal="center" vertical="top" wrapText="1"/>
    </xf>
    <xf numFmtId="200" fontId="68" fillId="0" borderId="8" xfId="63" applyNumberFormat="1" applyFont="1" applyFill="1" applyBorder="1" applyAlignment="1" applyProtection="1">
      <alignment horizontal="center"/>
    </xf>
    <xf numFmtId="200" fontId="69" fillId="0" borderId="8" xfId="63" applyNumberFormat="1" applyFont="1" applyFill="1" applyBorder="1" applyAlignment="1" applyProtection="1">
      <alignment horizontal="center"/>
    </xf>
    <xf numFmtId="200" fontId="68" fillId="28" borderId="12" xfId="63" applyNumberFormat="1" applyFont="1" applyFill="1" applyBorder="1" applyAlignment="1" applyProtection="1">
      <alignment horizontal="center"/>
    </xf>
    <xf numFmtId="200" fontId="70" fillId="0" borderId="8" xfId="63" applyNumberFormat="1" applyFont="1" applyFill="1" applyBorder="1" applyAlignment="1" applyProtection="1">
      <alignment horizontal="center"/>
    </xf>
    <xf numFmtId="39" fontId="69" fillId="30" borderId="16" xfId="0" applyNumberFormat="1" applyFont="1" applyFill="1" applyBorder="1" applyAlignment="1">
      <alignment horizontal="center" wrapText="1"/>
    </xf>
    <xf numFmtId="39" fontId="68" fillId="30" borderId="16" xfId="0" applyNumberFormat="1" applyFont="1" applyFill="1" applyBorder="1" applyAlignment="1">
      <alignment horizontal="center" wrapText="1"/>
    </xf>
    <xf numFmtId="200" fontId="69" fillId="0" borderId="8" xfId="63" applyNumberFormat="1" applyFont="1" applyFill="1" applyBorder="1" applyAlignment="1" applyProtection="1">
      <alignment horizontal="center"/>
      <protection locked="0"/>
    </xf>
    <xf numFmtId="200" fontId="68" fillId="0" borderId="8" xfId="63" applyNumberFormat="1" applyFont="1" applyFill="1" applyBorder="1" applyAlignment="1" applyProtection="1">
      <alignment horizontal="center"/>
      <protection locked="0"/>
    </xf>
    <xf numFmtId="200" fontId="70" fillId="0" borderId="8" xfId="63" applyNumberFormat="1" applyFont="1" applyFill="1" applyBorder="1" applyAlignment="1" applyProtection="1">
      <alignment horizontal="center"/>
      <protection locked="0"/>
    </xf>
    <xf numFmtId="0" fontId="71" fillId="28" borderId="0" xfId="63" applyFont="1" applyFill="1" applyAlignment="1" applyProtection="1">
      <alignment horizontal="center" wrapText="1"/>
    </xf>
    <xf numFmtId="0" fontId="71" fillId="0" borderId="0" xfId="63" applyFont="1" applyFill="1" applyAlignment="1" applyProtection="1">
      <alignment horizontal="center" wrapText="1"/>
    </xf>
    <xf numFmtId="191" fontId="72" fillId="0" borderId="0" xfId="63" applyNumberFormat="1" applyFont="1" applyFill="1" applyProtection="1"/>
    <xf numFmtId="0" fontId="72" fillId="28" borderId="0" xfId="63" applyFont="1" applyFill="1" applyProtection="1"/>
    <xf numFmtId="0" fontId="72" fillId="0" borderId="0" xfId="63" applyFont="1" applyFill="1" applyProtection="1"/>
    <xf numFmtId="0" fontId="71" fillId="0" borderId="14" xfId="63" applyFont="1" applyFill="1" applyBorder="1" applyAlignment="1" applyProtection="1">
      <alignment horizontal="center" wrapText="1"/>
    </xf>
    <xf numFmtId="200" fontId="71" fillId="28" borderId="0" xfId="63" applyNumberFormat="1" applyFont="1" applyFill="1" applyBorder="1" applyAlignment="1" applyProtection="1">
      <alignment horizontal="center" wrapText="1"/>
    </xf>
    <xf numFmtId="2" fontId="72" fillId="28" borderId="0" xfId="63" applyNumberFormat="1" applyFont="1" applyFill="1" applyProtection="1"/>
    <xf numFmtId="200" fontId="72" fillId="0" borderId="0" xfId="63" applyNumberFormat="1" applyFont="1" applyFill="1" applyProtection="1"/>
    <xf numFmtId="2" fontId="72" fillId="0" borderId="0" xfId="63" applyNumberFormat="1" applyFont="1" applyFill="1" applyProtection="1"/>
    <xf numFmtId="200" fontId="71" fillId="0" borderId="0" xfId="65" applyNumberFormat="1" applyFont="1" applyFill="1" applyAlignment="1" applyProtection="1">
      <alignment horizontal="center"/>
    </xf>
    <xf numFmtId="200" fontId="72" fillId="28" borderId="0" xfId="63" applyNumberFormat="1" applyFont="1" applyFill="1" applyProtection="1"/>
    <xf numFmtId="191" fontId="72" fillId="28" borderId="0" xfId="63" applyNumberFormat="1" applyFont="1" applyFill="1" applyProtection="1"/>
    <xf numFmtId="200" fontId="71" fillId="28" borderId="0" xfId="65" applyNumberFormat="1" applyFont="1" applyFill="1" applyAlignment="1" applyProtection="1">
      <alignment horizontal="center"/>
    </xf>
    <xf numFmtId="0" fontId="67" fillId="28" borderId="8" xfId="63" applyFont="1" applyFill="1" applyBorder="1" applyAlignment="1" applyProtection="1">
      <alignment horizontal="center" vertical="center" wrapText="1"/>
    </xf>
    <xf numFmtId="0" fontId="67" fillId="0" borderId="13" xfId="0" applyFont="1" applyFill="1" applyBorder="1" applyAlignment="1" applyProtection="1">
      <alignment horizontal="center" vertical="center" wrapText="1"/>
    </xf>
    <xf numFmtId="0" fontId="67" fillId="0" borderId="9" xfId="63" applyFont="1" applyFill="1" applyBorder="1" applyAlignment="1" applyProtection="1">
      <alignment horizontal="center" vertical="center" wrapText="1"/>
    </xf>
    <xf numFmtId="0" fontId="67" fillId="0" borderId="8" xfId="63" applyFont="1" applyFill="1" applyBorder="1" applyAlignment="1" applyProtection="1">
      <alignment horizontal="center" vertical="center" wrapText="1"/>
    </xf>
    <xf numFmtId="200" fontId="67" fillId="28" borderId="8" xfId="63" applyNumberFormat="1" applyFont="1" applyFill="1" applyBorder="1" applyAlignment="1" applyProtection="1">
      <alignment horizontal="center" vertical="center" wrapText="1"/>
    </xf>
    <xf numFmtId="200" fontId="67" fillId="28" borderId="8" xfId="0" applyNumberFormat="1" applyFont="1" applyFill="1" applyBorder="1" applyAlignment="1" applyProtection="1">
      <alignment horizontal="centerContinuous" vertical="center" wrapText="1"/>
    </xf>
    <xf numFmtId="0" fontId="67" fillId="28" borderId="8" xfId="0" applyFont="1" applyFill="1" applyBorder="1" applyAlignment="1" applyProtection="1">
      <alignment horizontal="center" vertical="center" wrapText="1"/>
    </xf>
    <xf numFmtId="0" fontId="67" fillId="0" borderId="8" xfId="63" applyFont="1" applyFill="1" applyBorder="1" applyAlignment="1" applyProtection="1">
      <alignment horizontal="centerContinuous" vertical="center" wrapText="1"/>
    </xf>
    <xf numFmtId="0" fontId="67" fillId="0" borderId="8" xfId="0" applyFont="1" applyFill="1" applyBorder="1" applyAlignment="1" applyProtection="1">
      <alignment horizontal="centerContinuous" vertical="center" wrapText="1"/>
    </xf>
    <xf numFmtId="0" fontId="67" fillId="0" borderId="8" xfId="63" applyFont="1" applyFill="1" applyBorder="1" applyAlignment="1" applyProtection="1">
      <alignment horizontal="center" vertical="top" wrapText="1"/>
    </xf>
    <xf numFmtId="49" fontId="67" fillId="0" borderId="8" xfId="63" applyNumberFormat="1" applyFont="1" applyFill="1" applyBorder="1" applyAlignment="1" applyProtection="1">
      <alignment horizontal="center" vertical="top" wrapText="1"/>
    </xf>
    <xf numFmtId="200" fontId="67" fillId="28" borderId="8" xfId="63" applyNumberFormat="1" applyFont="1" applyFill="1" applyBorder="1" applyAlignment="1" applyProtection="1">
      <alignment horizontal="center" vertical="top" wrapText="1"/>
    </xf>
    <xf numFmtId="49" fontId="68" fillId="0" borderId="8" xfId="63" applyNumberFormat="1" applyFont="1" applyFill="1" applyBorder="1" applyAlignment="1" applyProtection="1">
      <alignment horizontal="center"/>
    </xf>
    <xf numFmtId="0" fontId="68" fillId="0" borderId="8" xfId="63" applyFont="1" applyFill="1" applyBorder="1" applyAlignment="1" applyProtection="1">
      <alignment horizontal="center" wrapText="1"/>
    </xf>
    <xf numFmtId="209" fontId="68" fillId="0" borderId="8" xfId="45" applyNumberFormat="1" applyFont="1" applyFill="1" applyBorder="1" applyAlignment="1" applyProtection="1">
      <alignment horizontal="center"/>
    </xf>
    <xf numFmtId="209" fontId="68" fillId="28" borderId="8" xfId="45" applyNumberFormat="1" applyFont="1" applyFill="1" applyBorder="1" applyAlignment="1" applyProtection="1">
      <alignment horizontal="center"/>
    </xf>
    <xf numFmtId="49" fontId="69" fillId="0" borderId="8" xfId="0" applyNumberFormat="1" applyFont="1" applyFill="1" applyBorder="1" applyAlignment="1">
      <alignment horizontal="center" vertical="center"/>
    </xf>
    <xf numFmtId="0" fontId="73" fillId="0" borderId="8" xfId="63" applyFont="1" applyFill="1" applyBorder="1" applyAlignment="1" applyProtection="1">
      <alignment vertical="center" wrapText="1"/>
    </xf>
    <xf numFmtId="209" fontId="69" fillId="0" borderId="8" xfId="45" applyNumberFormat="1" applyFont="1" applyFill="1" applyBorder="1" applyAlignment="1" applyProtection="1">
      <alignment horizontal="center"/>
    </xf>
    <xf numFmtId="200" fontId="69" fillId="28" borderId="8" xfId="63" applyNumberFormat="1" applyFont="1" applyFill="1" applyBorder="1" applyAlignment="1" applyProtection="1">
      <alignment horizontal="center"/>
    </xf>
    <xf numFmtId="209" fontId="69" fillId="28" borderId="8" xfId="45" applyNumberFormat="1" applyFont="1" applyFill="1" applyBorder="1" applyAlignment="1" applyProtection="1">
      <alignment horizontal="center"/>
    </xf>
    <xf numFmtId="39" fontId="69" fillId="28" borderId="16" xfId="0" applyNumberFormat="1" applyFont="1" applyFill="1" applyBorder="1" applyAlignment="1">
      <alignment horizontal="center" wrapText="1"/>
    </xf>
    <xf numFmtId="0" fontId="68" fillId="0" borderId="8" xfId="63" applyFont="1" applyFill="1" applyBorder="1" applyAlignment="1" applyProtection="1">
      <alignment horizontal="center"/>
    </xf>
    <xf numFmtId="39" fontId="68" fillId="28" borderId="16" xfId="0" applyNumberFormat="1" applyFont="1" applyFill="1" applyBorder="1" applyAlignment="1">
      <alignment horizontal="center" wrapText="1"/>
    </xf>
    <xf numFmtId="0" fontId="68" fillId="0" borderId="8" xfId="63" applyFont="1" applyFill="1" applyBorder="1" applyAlignment="1" applyProtection="1">
      <alignment horizontal="center" vertical="center" wrapText="1"/>
    </xf>
    <xf numFmtId="0" fontId="70" fillId="0" borderId="8" xfId="0" applyNumberFormat="1" applyFont="1" applyFill="1" applyBorder="1" applyAlignment="1" applyProtection="1">
      <alignment horizontal="center" vertical="center"/>
      <protection hidden="1"/>
    </xf>
    <xf numFmtId="0" fontId="72" fillId="0" borderId="8" xfId="63" applyFont="1" applyFill="1" applyBorder="1" applyAlignment="1" applyProtection="1">
      <alignment vertical="center" wrapText="1"/>
    </xf>
    <xf numFmtId="209" fontId="70" fillId="0" borderId="8" xfId="45" applyNumberFormat="1" applyFont="1" applyFill="1" applyBorder="1" applyAlignment="1" applyProtection="1">
      <alignment horizontal="center"/>
    </xf>
    <xf numFmtId="200" fontId="70" fillId="28" borderId="8" xfId="63" applyNumberFormat="1" applyFont="1" applyFill="1" applyBorder="1" applyAlignment="1" applyProtection="1">
      <alignment horizontal="center"/>
    </xf>
    <xf numFmtId="209" fontId="70" fillId="28" borderId="8" xfId="45" applyNumberFormat="1" applyFont="1" applyFill="1" applyBorder="1" applyAlignment="1" applyProtection="1">
      <alignment horizontal="center"/>
    </xf>
    <xf numFmtId="0" fontId="69" fillId="0" borderId="8" xfId="0" applyNumberFormat="1" applyFont="1" applyFill="1" applyBorder="1" applyAlignment="1" applyProtection="1">
      <alignment horizontal="center" vertical="center"/>
      <protection hidden="1"/>
    </xf>
    <xf numFmtId="0" fontId="74" fillId="0" borderId="8" xfId="63" applyFont="1" applyFill="1" applyBorder="1" applyAlignment="1" applyProtection="1">
      <alignment vertical="center" wrapText="1"/>
    </xf>
    <xf numFmtId="212" fontId="69" fillId="28" borderId="16" xfId="0" applyNumberFormat="1" applyFont="1" applyFill="1" applyBorder="1" applyAlignment="1">
      <alignment horizontal="center" wrapText="1"/>
    </xf>
    <xf numFmtId="49" fontId="75" fillId="0" borderId="8" xfId="63" applyNumberFormat="1" applyFont="1" applyFill="1" applyBorder="1" applyAlignment="1" applyProtection="1">
      <alignment horizontal="center"/>
    </xf>
    <xf numFmtId="0" fontId="75" fillId="0" borderId="8" xfId="63" applyFont="1" applyFill="1" applyBorder="1" applyAlignment="1" applyProtection="1">
      <alignment horizontal="center" vertical="center" wrapText="1"/>
    </xf>
    <xf numFmtId="49" fontId="75" fillId="0" borderId="8" xfId="63" applyNumberFormat="1" applyFont="1" applyFill="1" applyBorder="1" applyAlignment="1" applyProtection="1">
      <alignment horizontal="center" vertical="center" wrapText="1"/>
    </xf>
    <xf numFmtId="49" fontId="76" fillId="0" borderId="8" xfId="63" applyNumberFormat="1" applyFont="1" applyFill="1" applyBorder="1" applyAlignment="1" applyProtection="1">
      <alignment horizontal="center" vertical="center" wrapText="1"/>
    </xf>
    <xf numFmtId="0" fontId="76" fillId="0" borderId="8" xfId="63" applyFont="1" applyFill="1" applyBorder="1" applyAlignment="1" applyProtection="1">
      <alignment horizontal="center" vertical="center" wrapText="1"/>
    </xf>
    <xf numFmtId="49" fontId="77" fillId="0" borderId="8" xfId="63" applyNumberFormat="1" applyFont="1" applyFill="1" applyBorder="1" applyAlignment="1" applyProtection="1">
      <alignment horizontal="center" vertical="center" wrapText="1"/>
    </xf>
    <xf numFmtId="0" fontId="77" fillId="0" borderId="8" xfId="63" applyFont="1" applyFill="1" applyBorder="1" applyAlignment="1" applyProtection="1">
      <alignment horizontal="center" vertical="center" wrapText="1"/>
    </xf>
    <xf numFmtId="0" fontId="68" fillId="25" borderId="8" xfId="63" applyFont="1" applyFill="1" applyBorder="1" applyAlignment="1" applyProtection="1">
      <alignment horizontal="center" vertical="center"/>
    </xf>
    <xf numFmtId="0" fontId="68" fillId="25" borderId="8" xfId="63" applyFont="1" applyFill="1" applyBorder="1" applyAlignment="1" applyProtection="1">
      <alignment horizontal="center" vertical="center" wrapText="1"/>
    </xf>
    <xf numFmtId="209" fontId="68" fillId="25" borderId="8" xfId="45" applyNumberFormat="1" applyFont="1" applyFill="1" applyBorder="1" applyAlignment="1" applyProtection="1">
      <alignment horizontal="center"/>
    </xf>
    <xf numFmtId="0" fontId="74" fillId="0" borderId="8" xfId="0" applyNumberFormat="1" applyFont="1" applyFill="1" applyBorder="1" applyAlignment="1">
      <alignment horizontal="left" vertical="center" wrapText="1"/>
    </xf>
    <xf numFmtId="49" fontId="77" fillId="0" borderId="8" xfId="63" applyNumberFormat="1" applyFont="1" applyFill="1" applyBorder="1" applyAlignment="1" applyProtection="1">
      <alignment horizontal="center"/>
    </xf>
    <xf numFmtId="0" fontId="71" fillId="0" borderId="8" xfId="0" applyFont="1" applyFill="1" applyBorder="1" applyAlignment="1" applyProtection="1"/>
    <xf numFmtId="200" fontId="68" fillId="28" borderId="8" xfId="0" applyNumberFormat="1" applyFont="1" applyFill="1" applyBorder="1" applyAlignment="1" applyProtection="1">
      <alignment horizontal="center"/>
    </xf>
    <xf numFmtId="200" fontId="68" fillId="0" borderId="8" xfId="0" applyNumberFormat="1" applyFont="1" applyFill="1" applyBorder="1" applyAlignment="1" applyProtection="1">
      <alignment horizontal="center"/>
    </xf>
    <xf numFmtId="0" fontId="70" fillId="0" borderId="8" xfId="63" applyFont="1" applyFill="1" applyBorder="1" applyAlignment="1" applyProtection="1">
      <alignment horizontal="center"/>
      <protection locked="0"/>
    </xf>
    <xf numFmtId="0" fontId="72" fillId="0" borderId="8" xfId="0" applyNumberFormat="1" applyFont="1" applyFill="1" applyBorder="1" applyAlignment="1">
      <alignment horizontal="left" vertical="center" wrapText="1"/>
    </xf>
    <xf numFmtId="200" fontId="77" fillId="28" borderId="8" xfId="0" applyNumberFormat="1" applyFont="1" applyFill="1" applyBorder="1" applyAlignment="1">
      <alignment horizontal="center"/>
    </xf>
    <xf numFmtId="200" fontId="77" fillId="0" borderId="8" xfId="0" applyNumberFormat="1" applyFont="1" applyFill="1" applyBorder="1" applyAlignment="1">
      <alignment horizontal="center"/>
    </xf>
    <xf numFmtId="200" fontId="70" fillId="0" borderId="8" xfId="0" applyNumberFormat="1" applyFont="1" applyFill="1" applyBorder="1" applyAlignment="1" applyProtection="1">
      <alignment horizontal="center"/>
    </xf>
    <xf numFmtId="0" fontId="70" fillId="0" borderId="8" xfId="63" applyFont="1" applyFill="1" applyBorder="1" applyProtection="1">
      <protection locked="0"/>
    </xf>
    <xf numFmtId="0" fontId="78" fillId="28" borderId="13" xfId="63" applyFont="1" applyFill="1" applyBorder="1" applyAlignment="1" applyProtection="1">
      <alignment horizontal="center" vertical="center" wrapText="1"/>
    </xf>
    <xf numFmtId="39" fontId="51" fillId="30" borderId="16" xfId="0" applyNumberFormat="1" applyFont="1" applyFill="1" applyBorder="1" applyAlignment="1">
      <alignment horizontal="center" wrapText="1"/>
    </xf>
    <xf numFmtId="39" fontId="79" fillId="30" borderId="16" xfId="0" applyNumberFormat="1" applyFont="1" applyFill="1" applyBorder="1" applyAlignment="1">
      <alignment horizontal="center" wrapText="1"/>
    </xf>
    <xf numFmtId="39" fontId="80" fillId="30" borderId="16" xfId="0" applyNumberFormat="1" applyFont="1" applyFill="1" applyBorder="1" applyAlignment="1">
      <alignment horizontal="center" wrapText="1"/>
    </xf>
    <xf numFmtId="200" fontId="68" fillId="0" borderId="8" xfId="51" applyNumberFormat="1" applyFont="1" applyBorder="1" applyAlignment="1">
      <alignment horizontal="center"/>
    </xf>
    <xf numFmtId="200" fontId="72" fillId="28" borderId="0" xfId="0" applyNumberFormat="1" applyFont="1" applyFill="1" applyBorder="1" applyAlignment="1">
      <alignment horizontal="right" vertical="center" wrapText="1"/>
    </xf>
    <xf numFmtId="200" fontId="67" fillId="28" borderId="13" xfId="63" applyNumberFormat="1" applyFont="1" applyFill="1" applyBorder="1" applyAlignment="1" applyProtection="1">
      <alignment horizontal="center" vertical="center" wrapText="1"/>
    </xf>
    <xf numFmtId="200" fontId="69" fillId="0" borderId="8" xfId="51" applyNumberFormat="1" applyFont="1" applyBorder="1" applyAlignment="1">
      <alignment horizontal="center"/>
    </xf>
    <xf numFmtId="200" fontId="62" fillId="28" borderId="0" xfId="63" applyNumberFormat="1" applyFont="1" applyFill="1" applyBorder="1" applyAlignment="1" applyProtection="1">
      <alignment horizontal="centerContinuous" vertical="center"/>
    </xf>
    <xf numFmtId="200" fontId="58" fillId="28" borderId="0" xfId="63" applyNumberFormat="1" applyFont="1" applyFill="1" applyBorder="1" applyAlignment="1" applyProtection="1">
      <alignment horizontal="center" vertical="center" wrapText="1"/>
    </xf>
    <xf numFmtId="200" fontId="58" fillId="24" borderId="0" xfId="63" applyNumberFormat="1" applyFont="1" applyFill="1" applyProtection="1"/>
    <xf numFmtId="200" fontId="76" fillId="28" borderId="8" xfId="0" applyNumberFormat="1" applyFont="1" applyFill="1" applyBorder="1" applyAlignment="1">
      <alignment horizontal="center"/>
    </xf>
    <xf numFmtId="200" fontId="76" fillId="0" borderId="8" xfId="0" applyNumberFormat="1" applyFont="1" applyFill="1" applyBorder="1" applyAlignment="1">
      <alignment horizontal="center"/>
    </xf>
    <xf numFmtId="0" fontId="69" fillId="0" borderId="8" xfId="63" applyFont="1" applyFill="1" applyBorder="1" applyAlignment="1" applyProtection="1">
      <alignment horizontal="center"/>
      <protection locked="0"/>
    </xf>
    <xf numFmtId="0" fontId="22" fillId="0" borderId="0" xfId="63" applyFont="1" applyFill="1" applyAlignment="1" applyProtection="1">
      <alignment horizontal="center"/>
    </xf>
    <xf numFmtId="0" fontId="34" fillId="0" borderId="0" xfId="63" applyFont="1" applyFill="1" applyAlignment="1" applyProtection="1">
      <alignment horizontal="center" vertical="center" wrapText="1"/>
    </xf>
    <xf numFmtId="0" fontId="33" fillId="0" borderId="14" xfId="63" applyFont="1" applyFill="1" applyBorder="1" applyAlignment="1" applyProtection="1">
      <alignment horizontal="center"/>
    </xf>
    <xf numFmtId="0" fontId="9" fillId="24" borderId="8" xfId="63" applyFont="1" applyFill="1" applyBorder="1" applyAlignment="1" applyProtection="1">
      <alignment horizontal="center" vertical="center" wrapText="1"/>
    </xf>
    <xf numFmtId="0" fontId="4" fillId="0" borderId="8" xfId="63" applyFont="1" applyFill="1" applyBorder="1" applyAlignment="1" applyProtection="1">
      <alignment horizontal="center" vertical="center" wrapText="1"/>
    </xf>
    <xf numFmtId="0" fontId="5" fillId="0" borderId="8" xfId="63" applyFont="1" applyFill="1" applyBorder="1" applyAlignment="1" applyProtection="1">
      <alignment horizontal="center" vertical="center"/>
    </xf>
    <xf numFmtId="0" fontId="5" fillId="0" borderId="9" xfId="63" applyFont="1" applyFill="1" applyBorder="1" applyAlignment="1" applyProtection="1">
      <alignment horizontal="center" vertical="center"/>
    </xf>
    <xf numFmtId="0" fontId="5" fillId="0" borderId="10" xfId="63" applyFont="1" applyFill="1" applyBorder="1" applyAlignment="1" applyProtection="1">
      <alignment horizontal="center" vertical="center"/>
    </xf>
    <xf numFmtId="0" fontId="5" fillId="0" borderId="15" xfId="63" applyFont="1" applyFill="1" applyBorder="1" applyAlignment="1" applyProtection="1">
      <alignment horizontal="center" vertical="center"/>
    </xf>
    <xf numFmtId="0" fontId="5" fillId="0" borderId="11" xfId="63" applyFont="1" applyFill="1" applyBorder="1" applyAlignment="1" applyProtection="1">
      <alignment horizontal="center" vertical="center"/>
    </xf>
    <xf numFmtId="0" fontId="5" fillId="0" borderId="0" xfId="63" applyFont="1" applyFill="1" applyAlignment="1" applyProtection="1">
      <alignment horizontal="center"/>
    </xf>
    <xf numFmtId="0" fontId="5" fillId="0" borderId="0" xfId="63" applyFont="1" applyFill="1" applyAlignment="1" applyProtection="1">
      <alignment horizontal="center" vertical="center" wrapText="1"/>
    </xf>
    <xf numFmtId="0" fontId="5" fillId="0" borderId="0" xfId="64" applyFont="1" applyFill="1" applyAlignment="1" applyProtection="1">
      <alignment horizontal="center"/>
    </xf>
    <xf numFmtId="0" fontId="81" fillId="0" borderId="0" xfId="63" applyFont="1" applyFill="1" applyAlignment="1" applyProtection="1">
      <alignment horizontal="center" wrapText="1"/>
    </xf>
    <xf numFmtId="0" fontId="70" fillId="0" borderId="14" xfId="63" applyFont="1" applyFill="1" applyBorder="1" applyAlignment="1" applyProtection="1">
      <alignment horizontal="center"/>
    </xf>
    <xf numFmtId="0" fontId="78" fillId="0" borderId="8" xfId="63" applyFont="1" applyFill="1" applyBorder="1" applyAlignment="1" applyProtection="1">
      <alignment horizontal="center" vertical="center" wrapText="1"/>
    </xf>
    <xf numFmtId="0" fontId="68" fillId="0" borderId="8" xfId="63" applyFont="1" applyFill="1" applyBorder="1" applyAlignment="1" applyProtection="1">
      <alignment horizontal="center" vertical="center" wrapText="1"/>
    </xf>
    <xf numFmtId="0" fontId="81" fillId="0" borderId="8" xfId="63" applyFont="1" applyFill="1" applyBorder="1" applyAlignment="1" applyProtection="1">
      <alignment horizontal="center" vertical="center"/>
    </xf>
    <xf numFmtId="0" fontId="81" fillId="28" borderId="8" xfId="63" applyFont="1" applyFill="1" applyBorder="1" applyAlignment="1" applyProtection="1">
      <alignment horizontal="center" vertical="center"/>
    </xf>
  </cellXfs>
  <cellStyles count="7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ичайний 5" xfId="55"/>
    <cellStyle name="Зв'язана клітинка" xfId="56"/>
    <cellStyle name="Контрольна клітинка" xfId="57"/>
    <cellStyle name="Назва" xfId="58"/>
    <cellStyle name="Обычный 2" xfId="59"/>
    <cellStyle name="Обычный 2 2" xfId="60"/>
    <cellStyle name="Обычный 3" xfId="61"/>
    <cellStyle name="Обычный 3 2" xfId="62"/>
    <cellStyle name="Обычный_ZV1PIV98" xfId="63"/>
    <cellStyle name="Обычный_Додаток 4" xfId="64"/>
    <cellStyle name="Обычный_Додаток 5" xfId="65"/>
    <cellStyle name="Примечание 2" xfId="66"/>
    <cellStyle name="Середній" xfId="67"/>
    <cellStyle name="Стиль 1" xfId="68"/>
    <cellStyle name="Текст попередження" xfId="69"/>
    <cellStyle name="Тысячи [0]_Розподіл (2)" xfId="70"/>
    <cellStyle name="Тысячи_Розподіл (2)" xfId="71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abSelected="1" view="pageBreakPreview" zoomScale="75" zoomScaleNormal="75" zoomScaleSheetLayoutView="75" workbookViewId="0">
      <pane xSplit="3" ySplit="9" topLeftCell="D11" activePane="bottomRight" state="frozen"/>
      <selection pane="topRight" activeCell="D1" sqref="D1"/>
      <selection pane="bottomLeft" activeCell="A10" sqref="A10"/>
      <selection pane="bottomRight" activeCell="K21" sqref="K21"/>
    </sheetView>
  </sheetViews>
  <sheetFormatPr defaultColWidth="7.88671875" defaultRowHeight="15.6" x14ac:dyDescent="0.3"/>
  <cols>
    <col min="1" max="1" width="12.44140625" style="51" customWidth="1"/>
    <col min="2" max="2" width="83.109375" style="2" customWidth="1"/>
    <col min="3" max="3" width="0.109375" style="2" customWidth="1"/>
    <col min="4" max="4" width="20.5546875" style="117" customWidth="1"/>
    <col min="5" max="5" width="21.33203125" style="145" customWidth="1"/>
    <col min="6" max="6" width="21.88671875" style="117" customWidth="1"/>
    <col min="7" max="7" width="19.44140625" style="51" customWidth="1"/>
    <col min="8" max="8" width="21.44140625" style="2" customWidth="1"/>
    <col min="9" max="9" width="20.44140625" style="2" customWidth="1"/>
    <col min="10" max="10" width="17.6640625" style="2" customWidth="1"/>
    <col min="11" max="11" width="17.6640625" style="117" customWidth="1"/>
    <col min="12" max="12" width="19.88671875" style="117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28" customFormat="1" ht="20.399999999999999" x14ac:dyDescent="0.35">
      <c r="A1" s="269" t="s">
        <v>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33" s="5" customFormat="1" ht="24" customHeight="1" x14ac:dyDescent="0.35">
      <c r="A2" s="270" t="s">
        <v>89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33" s="29" customFormat="1" ht="21.6" customHeight="1" x14ac:dyDescent="0.35">
      <c r="A3" s="271" t="s">
        <v>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33" s="6" customFormat="1" ht="24.75" customHeight="1" x14ac:dyDescent="0.3">
      <c r="A4" s="270" t="s">
        <v>215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33" s="6" customFormat="1" ht="23.25" customHeight="1" x14ac:dyDescent="0.3">
      <c r="A5" s="260" t="s">
        <v>212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</row>
    <row r="6" spans="1:33" ht="28.5" customHeight="1" x14ac:dyDescent="0.35">
      <c r="B6" s="3" t="s">
        <v>96</v>
      </c>
      <c r="C6" s="3"/>
      <c r="D6" s="128"/>
      <c r="E6" s="147"/>
      <c r="F6" s="129"/>
      <c r="G6" s="107"/>
      <c r="H6" s="61"/>
      <c r="I6" s="61"/>
      <c r="K6" s="120"/>
      <c r="L6" s="120"/>
      <c r="M6" s="61"/>
      <c r="N6" s="61"/>
      <c r="Q6" s="261" t="s">
        <v>178</v>
      </c>
      <c r="R6" s="261"/>
    </row>
    <row r="7" spans="1:33" s="7" customFormat="1" ht="28.5" customHeight="1" x14ac:dyDescent="0.3">
      <c r="A7" s="262" t="s">
        <v>4</v>
      </c>
      <c r="B7" s="263" t="s">
        <v>5</v>
      </c>
      <c r="C7" s="264" t="s">
        <v>46</v>
      </c>
      <c r="D7" s="264"/>
      <c r="E7" s="264"/>
      <c r="F7" s="264"/>
      <c r="G7" s="264"/>
      <c r="H7" s="264"/>
      <c r="I7" s="264"/>
      <c r="J7" s="264"/>
      <c r="K7" s="264" t="s">
        <v>47</v>
      </c>
      <c r="L7" s="265"/>
      <c r="M7" s="265"/>
      <c r="N7" s="265"/>
      <c r="O7" s="266" t="s">
        <v>177</v>
      </c>
      <c r="P7" s="266"/>
      <c r="Q7" s="267"/>
      <c r="R7" s="268"/>
    </row>
    <row r="8" spans="1:33" s="7" customFormat="1" ht="90" customHeight="1" x14ac:dyDescent="0.3">
      <c r="A8" s="262"/>
      <c r="B8" s="263"/>
      <c r="C8" s="4" t="s">
        <v>48</v>
      </c>
      <c r="D8" s="149" t="s">
        <v>197</v>
      </c>
      <c r="E8" s="150" t="s">
        <v>216</v>
      </c>
      <c r="F8" s="151" t="s">
        <v>6</v>
      </c>
      <c r="G8" s="108" t="s">
        <v>217</v>
      </c>
      <c r="H8" s="99" t="s">
        <v>218</v>
      </c>
      <c r="I8" s="99" t="s">
        <v>68</v>
      </c>
      <c r="J8" s="100" t="s">
        <v>198</v>
      </c>
      <c r="K8" s="245" t="s">
        <v>199</v>
      </c>
      <c r="L8" s="166" t="s">
        <v>6</v>
      </c>
      <c r="M8" s="24" t="s">
        <v>50</v>
      </c>
      <c r="N8" s="24" t="s">
        <v>7</v>
      </c>
      <c r="O8" s="25" t="s">
        <v>197</v>
      </c>
      <c r="P8" s="24" t="s">
        <v>6</v>
      </c>
      <c r="Q8" s="26" t="s">
        <v>165</v>
      </c>
      <c r="R8" s="27" t="s">
        <v>7</v>
      </c>
    </row>
    <row r="9" spans="1:33" s="33" customFormat="1" ht="13.8" x14ac:dyDescent="0.25">
      <c r="A9" s="53">
        <v>1</v>
      </c>
      <c r="B9" s="30">
        <v>2</v>
      </c>
      <c r="C9" s="23" t="s">
        <v>42</v>
      </c>
      <c r="D9" s="152" t="s">
        <v>42</v>
      </c>
      <c r="E9" s="153" t="s">
        <v>8</v>
      </c>
      <c r="F9" s="152" t="s">
        <v>9</v>
      </c>
      <c r="G9" s="65" t="s">
        <v>59</v>
      </c>
      <c r="H9" s="23" t="s">
        <v>60</v>
      </c>
      <c r="I9" s="23" t="s">
        <v>43</v>
      </c>
      <c r="J9" s="23" t="s">
        <v>10</v>
      </c>
      <c r="K9" s="167" t="s">
        <v>11</v>
      </c>
      <c r="L9" s="152" t="s">
        <v>12</v>
      </c>
      <c r="M9" s="23" t="s">
        <v>13</v>
      </c>
      <c r="N9" s="23" t="s">
        <v>44</v>
      </c>
      <c r="O9" s="23" t="s">
        <v>14</v>
      </c>
      <c r="P9" s="23" t="s">
        <v>41</v>
      </c>
      <c r="Q9" s="31" t="s">
        <v>56</v>
      </c>
      <c r="R9" s="23" t="s">
        <v>57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 ht="32.25" customHeight="1" x14ac:dyDescent="0.3">
      <c r="A10" s="54">
        <v>10000000</v>
      </c>
      <c r="B10" s="1" t="s">
        <v>15</v>
      </c>
      <c r="C10" s="11" t="e">
        <f>C11+C14+C17+#REF!+#REF!</f>
        <v>#REF!</v>
      </c>
      <c r="D10" s="154">
        <f>D11+D14+D17+D21</f>
        <v>800553.3</v>
      </c>
      <c r="E10" s="154">
        <f>E11+E17+E21</f>
        <v>723826.4</v>
      </c>
      <c r="F10" s="154">
        <f>F11+F14+F17+F21</f>
        <v>725368.28930000006</v>
      </c>
      <c r="G10" s="67">
        <f t="shared" ref="G10:G27" si="0">F10-E10</f>
        <v>1541.8893000000389</v>
      </c>
      <c r="H10" s="73">
        <f>IFERROR(F10/E10,"")</f>
        <v>1.0021301921289414</v>
      </c>
      <c r="I10" s="68">
        <f t="shared" ref="I10:I20" si="1">F10-D10</f>
        <v>-75185.010699999984</v>
      </c>
      <c r="J10" s="73">
        <f>IFERROR(F10/D10,"")</f>
        <v>0.90608369149187196</v>
      </c>
      <c r="K10" s="168">
        <f>K11+K14+K17+K21</f>
        <v>3081.8</v>
      </c>
      <c r="L10" s="168">
        <f>L11+L14+L17+L21</f>
        <v>3604.7433099999998</v>
      </c>
      <c r="M10" s="68">
        <f>L10-K10</f>
        <v>522.94330999999966</v>
      </c>
      <c r="N10" s="73">
        <f>IFERROR(L10/K10,"")</f>
        <v>1.1696876208709195</v>
      </c>
      <c r="O10" s="68">
        <f t="shared" ref="O10:O20" si="2">D10+K10</f>
        <v>803635.10000000009</v>
      </c>
      <c r="P10" s="68">
        <f t="shared" ref="P10:P20" si="3">L10+F10</f>
        <v>728973.03261000011</v>
      </c>
      <c r="Q10" s="70">
        <f t="shared" ref="Q10:Q20" si="4">P10-O10</f>
        <v>-74662.067389999982</v>
      </c>
      <c r="R10" s="73">
        <f>IFERROR(P10/O10,"")</f>
        <v>0.9070945664394201</v>
      </c>
    </row>
    <row r="11" spans="1:33" ht="32.25" customHeight="1" x14ac:dyDescent="0.3">
      <c r="A11" s="54">
        <v>11000000</v>
      </c>
      <c r="B11" s="10" t="s">
        <v>28</v>
      </c>
      <c r="C11" s="11">
        <f>C12+C13</f>
        <v>107497.5</v>
      </c>
      <c r="D11" s="154">
        <f>D12+D13</f>
        <v>790089</v>
      </c>
      <c r="E11" s="154">
        <f>E12+E13</f>
        <v>713411</v>
      </c>
      <c r="F11" s="154">
        <f>F12+F13</f>
        <v>715402.90583000006</v>
      </c>
      <c r="G11" s="67">
        <f t="shared" si="0"/>
        <v>1991.9058300000615</v>
      </c>
      <c r="H11" s="73">
        <f>IFERROR(F11/E11,"")</f>
        <v>1.0027920873521716</v>
      </c>
      <c r="I11" s="68">
        <f t="shared" si="1"/>
        <v>-74686.094169999938</v>
      </c>
      <c r="J11" s="73">
        <f t="shared" ref="J11:J35" si="5">IFERROR(F11/D11,"")</f>
        <v>0.9054712897281193</v>
      </c>
      <c r="K11" s="168">
        <f>K12+K13</f>
        <v>0</v>
      </c>
      <c r="L11" s="168">
        <f>L12+L13</f>
        <v>0</v>
      </c>
      <c r="M11" s="68">
        <f>L11-K11</f>
        <v>0</v>
      </c>
      <c r="N11" s="73" t="str">
        <f t="shared" ref="N11:N36" si="6">IFERROR(L11/K11,"")</f>
        <v/>
      </c>
      <c r="O11" s="68">
        <f t="shared" si="2"/>
        <v>790089</v>
      </c>
      <c r="P11" s="68">
        <f t="shared" si="3"/>
        <v>715402.90583000006</v>
      </c>
      <c r="Q11" s="70">
        <f t="shared" si="4"/>
        <v>-74686.094169999938</v>
      </c>
      <c r="R11" s="73">
        <f t="shared" ref="R11:R35" si="7">IFERROR(P11/O11,"")</f>
        <v>0.9054712897281193</v>
      </c>
    </row>
    <row r="12" spans="1:33" s="86" customFormat="1" ht="23.25" customHeight="1" x14ac:dyDescent="0.35">
      <c r="A12" s="92">
        <v>11010000</v>
      </c>
      <c r="B12" s="13" t="s">
        <v>168</v>
      </c>
      <c r="C12" s="9">
        <v>106199</v>
      </c>
      <c r="D12" s="155">
        <v>730814</v>
      </c>
      <c r="E12" s="156">
        <v>654656</v>
      </c>
      <c r="F12" s="155">
        <v>646200.60872000002</v>
      </c>
      <c r="G12" s="93">
        <f t="shared" si="0"/>
        <v>-8455.3912799999816</v>
      </c>
      <c r="H12" s="84">
        <f>IFERROR(F12/E12,"")</f>
        <v>0.98708422243132277</v>
      </c>
      <c r="I12" s="94">
        <f t="shared" si="1"/>
        <v>-84613.391279999982</v>
      </c>
      <c r="J12" s="84">
        <f t="shared" si="5"/>
        <v>0.88422034706505348</v>
      </c>
      <c r="K12" s="169"/>
      <c r="L12" s="169"/>
      <c r="M12" s="83">
        <v>0</v>
      </c>
      <c r="N12" s="84" t="str">
        <f t="shared" si="6"/>
        <v/>
      </c>
      <c r="O12" s="83">
        <f t="shared" si="2"/>
        <v>730814</v>
      </c>
      <c r="P12" s="94">
        <f t="shared" si="3"/>
        <v>646200.60872000002</v>
      </c>
      <c r="Q12" s="95">
        <f t="shared" si="4"/>
        <v>-84613.391279999982</v>
      </c>
      <c r="R12" s="84">
        <f t="shared" si="7"/>
        <v>0.88422034706505348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</row>
    <row r="13" spans="1:33" s="86" customFormat="1" ht="24" customHeight="1" x14ac:dyDescent="0.35">
      <c r="A13" s="92">
        <v>11020000</v>
      </c>
      <c r="B13" s="13" t="s">
        <v>39</v>
      </c>
      <c r="C13" s="9">
        <v>1298.5</v>
      </c>
      <c r="D13" s="155">
        <v>59275</v>
      </c>
      <c r="E13" s="156">
        <v>58755</v>
      </c>
      <c r="F13" s="155">
        <v>69202.29711</v>
      </c>
      <c r="G13" s="93">
        <f t="shared" si="0"/>
        <v>10447.29711</v>
      </c>
      <c r="H13" s="84">
        <f>IFERROR(F13/E13,"")</f>
        <v>1.1778112009190707</v>
      </c>
      <c r="I13" s="94">
        <f t="shared" si="1"/>
        <v>9927.2971099999995</v>
      </c>
      <c r="J13" s="84">
        <f t="shared" si="5"/>
        <v>1.1674786522142555</v>
      </c>
      <c r="K13" s="169"/>
      <c r="L13" s="169"/>
      <c r="M13" s="83">
        <v>0</v>
      </c>
      <c r="N13" s="84" t="str">
        <f t="shared" si="6"/>
        <v/>
      </c>
      <c r="O13" s="83">
        <f t="shared" si="2"/>
        <v>59275</v>
      </c>
      <c r="P13" s="94">
        <f t="shared" si="3"/>
        <v>69202.29711</v>
      </c>
      <c r="Q13" s="95">
        <f t="shared" si="4"/>
        <v>9927.2971099999995</v>
      </c>
      <c r="R13" s="84">
        <f t="shared" si="7"/>
        <v>1.1674786522142555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33" ht="17.399999999999999" x14ac:dyDescent="0.3">
      <c r="A14" s="54">
        <v>12000000</v>
      </c>
      <c r="B14" s="10" t="s">
        <v>29</v>
      </c>
      <c r="C14" s="12">
        <f>C15</f>
        <v>0</v>
      </c>
      <c r="D14" s="154">
        <f>D15</f>
        <v>0</v>
      </c>
      <c r="E14" s="154">
        <f>E15</f>
        <v>0</v>
      </c>
      <c r="F14" s="154">
        <f>F15</f>
        <v>0</v>
      </c>
      <c r="G14" s="67">
        <f t="shared" si="0"/>
        <v>0</v>
      </c>
      <c r="H14" s="73" t="str">
        <f t="shared" ref="H14:H35" si="8">IFERROR(F14/E14,"")</f>
        <v/>
      </c>
      <c r="I14" s="68">
        <f t="shared" si="1"/>
        <v>0</v>
      </c>
      <c r="J14" s="73" t="str">
        <f t="shared" si="5"/>
        <v/>
      </c>
      <c r="K14" s="170">
        <f>K15</f>
        <v>0</v>
      </c>
      <c r="L14" s="170">
        <f>L15</f>
        <v>2.1304499999999997</v>
      </c>
      <c r="M14" s="69">
        <f>M15</f>
        <v>2.1304499999999997</v>
      </c>
      <c r="N14" s="73" t="str">
        <f t="shared" si="6"/>
        <v/>
      </c>
      <c r="O14" s="68">
        <f t="shared" si="2"/>
        <v>0</v>
      </c>
      <c r="P14" s="68">
        <f t="shared" si="3"/>
        <v>2.1304499999999997</v>
      </c>
      <c r="Q14" s="70">
        <f t="shared" si="4"/>
        <v>2.1304499999999997</v>
      </c>
      <c r="R14" s="73" t="str">
        <f t="shared" si="7"/>
        <v/>
      </c>
    </row>
    <row r="15" spans="1:33" ht="31.2" x14ac:dyDescent="0.35">
      <c r="A15" s="92">
        <v>12020000</v>
      </c>
      <c r="B15" s="13" t="s">
        <v>145</v>
      </c>
      <c r="C15" s="14"/>
      <c r="D15" s="157"/>
      <c r="E15" s="157"/>
      <c r="F15" s="157"/>
      <c r="G15" s="109">
        <f t="shared" si="0"/>
        <v>0</v>
      </c>
      <c r="H15" s="73" t="str">
        <f t="shared" si="8"/>
        <v/>
      </c>
      <c r="I15" s="80">
        <f t="shared" si="1"/>
        <v>0</v>
      </c>
      <c r="J15" s="73" t="str">
        <f t="shared" si="5"/>
        <v/>
      </c>
      <c r="K15" s="171"/>
      <c r="L15" s="171">
        <v>2.1304499999999997</v>
      </c>
      <c r="M15" s="72">
        <f t="shared" ref="M15:M20" si="9">L15-K15</f>
        <v>2.1304499999999997</v>
      </c>
      <c r="N15" s="73" t="str">
        <f t="shared" si="6"/>
        <v/>
      </c>
      <c r="O15" s="72">
        <f t="shared" si="2"/>
        <v>0</v>
      </c>
      <c r="P15" s="80">
        <f t="shared" si="3"/>
        <v>2.1304499999999997</v>
      </c>
      <c r="Q15" s="81">
        <f t="shared" si="4"/>
        <v>2.1304499999999997</v>
      </c>
      <c r="R15" s="73" t="str">
        <f t="shared" si="7"/>
        <v/>
      </c>
    </row>
    <row r="16" spans="1:33" ht="37.5" hidden="1" customHeight="1" x14ac:dyDescent="0.35">
      <c r="A16" s="52">
        <v>12030000</v>
      </c>
      <c r="B16" s="78" t="s">
        <v>55</v>
      </c>
      <c r="C16" s="14"/>
      <c r="D16" s="157"/>
      <c r="E16" s="158"/>
      <c r="F16" s="157"/>
      <c r="G16" s="109">
        <f t="shared" si="0"/>
        <v>0</v>
      </c>
      <c r="H16" s="73" t="str">
        <f t="shared" si="8"/>
        <v/>
      </c>
      <c r="I16" s="80">
        <f t="shared" si="1"/>
        <v>0</v>
      </c>
      <c r="J16" s="73" t="str">
        <f t="shared" si="5"/>
        <v/>
      </c>
      <c r="K16" s="171"/>
      <c r="L16" s="171"/>
      <c r="M16" s="72">
        <f t="shared" si="9"/>
        <v>0</v>
      </c>
      <c r="N16" s="73" t="str">
        <f t="shared" si="6"/>
        <v/>
      </c>
      <c r="O16" s="72">
        <f t="shared" si="2"/>
        <v>0</v>
      </c>
      <c r="P16" s="80">
        <f t="shared" si="3"/>
        <v>0</v>
      </c>
      <c r="Q16" s="81">
        <f t="shared" si="4"/>
        <v>0</v>
      </c>
      <c r="R16" s="73" t="str">
        <f t="shared" si="7"/>
        <v/>
      </c>
    </row>
    <row r="17" spans="1:33" ht="23.25" customHeight="1" x14ac:dyDescent="0.3">
      <c r="A17" s="54">
        <v>13000000</v>
      </c>
      <c r="B17" s="10" t="s">
        <v>146</v>
      </c>
      <c r="C17" s="12" t="e">
        <f>C18+#REF!+#REF!+#REF!</f>
        <v>#REF!</v>
      </c>
      <c r="D17" s="154">
        <f>SUM(D18:D20)</f>
        <v>10464.299999999999</v>
      </c>
      <c r="E17" s="154">
        <f>SUM(E18:E20)</f>
        <v>10415.4</v>
      </c>
      <c r="F17" s="154">
        <f>SUM(F18:F20)</f>
        <v>9965.3834700000007</v>
      </c>
      <c r="G17" s="67">
        <f t="shared" si="0"/>
        <v>-450.01652999999897</v>
      </c>
      <c r="H17" s="73">
        <f t="shared" si="8"/>
        <v>0.95679315916815499</v>
      </c>
      <c r="I17" s="68">
        <f t="shared" si="1"/>
        <v>-498.9165299999986</v>
      </c>
      <c r="J17" s="73">
        <f t="shared" si="5"/>
        <v>0.9523220349187238</v>
      </c>
      <c r="K17" s="168">
        <f>K18+K19+K20</f>
        <v>0</v>
      </c>
      <c r="L17" s="168">
        <f>L18+L19+L20</f>
        <v>0</v>
      </c>
      <c r="M17" s="68">
        <f t="shared" si="9"/>
        <v>0</v>
      </c>
      <c r="N17" s="73" t="str">
        <f t="shared" si="6"/>
        <v/>
      </c>
      <c r="O17" s="68">
        <f t="shared" si="2"/>
        <v>10464.299999999999</v>
      </c>
      <c r="P17" s="68">
        <f t="shared" si="3"/>
        <v>9965.3834700000007</v>
      </c>
      <c r="Q17" s="70">
        <f t="shared" si="4"/>
        <v>-498.9165299999986</v>
      </c>
      <c r="R17" s="73">
        <f t="shared" si="7"/>
        <v>0.9523220349187238</v>
      </c>
    </row>
    <row r="18" spans="1:33" s="86" customFormat="1" ht="19.5" hidden="1" customHeight="1" x14ac:dyDescent="0.35">
      <c r="A18" s="92">
        <v>13010000</v>
      </c>
      <c r="B18" s="13" t="s">
        <v>147</v>
      </c>
      <c r="C18" s="9">
        <v>1</v>
      </c>
      <c r="D18" s="155">
        <v>0</v>
      </c>
      <c r="E18" s="155">
        <v>0</v>
      </c>
      <c r="F18" s="155">
        <v>0</v>
      </c>
      <c r="G18" s="93">
        <f t="shared" si="0"/>
        <v>0</v>
      </c>
      <c r="H18" s="96" t="str">
        <f t="shared" si="8"/>
        <v/>
      </c>
      <c r="I18" s="94">
        <f t="shared" si="1"/>
        <v>0</v>
      </c>
      <c r="J18" s="96" t="str">
        <f t="shared" si="5"/>
        <v/>
      </c>
      <c r="K18" s="169">
        <v>0</v>
      </c>
      <c r="L18" s="169">
        <v>0</v>
      </c>
      <c r="M18" s="83">
        <f t="shared" si="9"/>
        <v>0</v>
      </c>
      <c r="N18" s="96" t="str">
        <f t="shared" si="6"/>
        <v/>
      </c>
      <c r="O18" s="83">
        <f t="shared" si="2"/>
        <v>0</v>
      </c>
      <c r="P18" s="94">
        <f t="shared" si="3"/>
        <v>0</v>
      </c>
      <c r="Q18" s="95">
        <f t="shared" si="4"/>
        <v>0</v>
      </c>
      <c r="R18" s="96" t="str">
        <f t="shared" si="7"/>
        <v/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33" s="86" customFormat="1" ht="24" customHeight="1" x14ac:dyDescent="0.35">
      <c r="A19" s="92">
        <v>13020000</v>
      </c>
      <c r="B19" s="13" t="s">
        <v>148</v>
      </c>
      <c r="C19" s="9"/>
      <c r="D19" s="155">
        <v>8600</v>
      </c>
      <c r="E19" s="156">
        <v>8600</v>
      </c>
      <c r="F19" s="155">
        <v>7698.9636600000003</v>
      </c>
      <c r="G19" s="93">
        <f t="shared" si="0"/>
        <v>-901.03633999999965</v>
      </c>
      <c r="H19" s="84">
        <f t="shared" si="8"/>
        <v>0.89522833255813961</v>
      </c>
      <c r="I19" s="94">
        <f t="shared" si="1"/>
        <v>-901.03633999999965</v>
      </c>
      <c r="J19" s="84">
        <f t="shared" si="5"/>
        <v>0.89522833255813961</v>
      </c>
      <c r="K19" s="169"/>
      <c r="L19" s="169">
        <v>0</v>
      </c>
      <c r="M19" s="83">
        <f t="shared" si="9"/>
        <v>0</v>
      </c>
      <c r="N19" s="84" t="str">
        <f t="shared" si="6"/>
        <v/>
      </c>
      <c r="O19" s="83">
        <f t="shared" si="2"/>
        <v>8600</v>
      </c>
      <c r="P19" s="94">
        <f t="shared" si="3"/>
        <v>7698.9636600000003</v>
      </c>
      <c r="Q19" s="95">
        <f t="shared" si="4"/>
        <v>-901.03633999999965</v>
      </c>
      <c r="R19" s="84">
        <f t="shared" si="7"/>
        <v>0.89522833255813961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s="86" customFormat="1" ht="23.25" customHeight="1" x14ac:dyDescent="0.35">
      <c r="A20" s="92">
        <v>13030000</v>
      </c>
      <c r="B20" s="13" t="s">
        <v>149</v>
      </c>
      <c r="C20" s="9"/>
      <c r="D20" s="155">
        <v>1864.3</v>
      </c>
      <c r="E20" s="156">
        <v>1815.4</v>
      </c>
      <c r="F20" s="155">
        <v>2266.4198099999999</v>
      </c>
      <c r="G20" s="93">
        <f t="shared" si="0"/>
        <v>451.01980999999978</v>
      </c>
      <c r="H20" s="84">
        <f t="shared" si="8"/>
        <v>1.2484410102456758</v>
      </c>
      <c r="I20" s="94">
        <f t="shared" si="1"/>
        <v>402.11980999999992</v>
      </c>
      <c r="J20" s="84">
        <f t="shared" si="5"/>
        <v>1.2156947969747358</v>
      </c>
      <c r="K20" s="169"/>
      <c r="L20" s="169">
        <v>0</v>
      </c>
      <c r="M20" s="83">
        <f t="shared" si="9"/>
        <v>0</v>
      </c>
      <c r="N20" s="84" t="str">
        <f t="shared" si="6"/>
        <v/>
      </c>
      <c r="O20" s="83">
        <f t="shared" si="2"/>
        <v>1864.3</v>
      </c>
      <c r="P20" s="94">
        <f t="shared" si="3"/>
        <v>2266.4198099999999</v>
      </c>
      <c r="Q20" s="95">
        <f t="shared" si="4"/>
        <v>402.11980999999992</v>
      </c>
      <c r="R20" s="84">
        <f t="shared" si="7"/>
        <v>1.2156947969747358</v>
      </c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 ht="23.25" customHeight="1" x14ac:dyDescent="0.3">
      <c r="A21" s="54">
        <v>19000000</v>
      </c>
      <c r="B21" s="1" t="s">
        <v>52</v>
      </c>
      <c r="C21" s="9"/>
      <c r="D21" s="154">
        <f>D22+D23</f>
        <v>0</v>
      </c>
      <c r="E21" s="159">
        <f>E22+E23</f>
        <v>0</v>
      </c>
      <c r="F21" s="154">
        <f>F22+F23</f>
        <v>0</v>
      </c>
      <c r="G21" s="67">
        <f t="shared" si="0"/>
        <v>0</v>
      </c>
      <c r="H21" s="73" t="str">
        <f t="shared" si="8"/>
        <v/>
      </c>
      <c r="I21" s="68">
        <f>F21-D21</f>
        <v>0</v>
      </c>
      <c r="J21" s="73" t="str">
        <f t="shared" si="5"/>
        <v/>
      </c>
      <c r="K21" s="168">
        <f>K22+K23</f>
        <v>3081.8</v>
      </c>
      <c r="L21" s="168">
        <f>L22+L23</f>
        <v>3602.6128599999997</v>
      </c>
      <c r="M21" s="68">
        <f>L21-K21</f>
        <v>520.81285999999955</v>
      </c>
      <c r="N21" s="73">
        <f t="shared" si="6"/>
        <v>1.1689963203322733</v>
      </c>
      <c r="O21" s="68">
        <f t="shared" ref="O21:O54" si="10">D21+K21</f>
        <v>3081.8</v>
      </c>
      <c r="P21" s="68">
        <f>L21+F21</f>
        <v>3602.6128599999997</v>
      </c>
      <c r="Q21" s="68">
        <f t="shared" ref="Q21:Q44" si="11">P21-O21</f>
        <v>520.81285999999955</v>
      </c>
      <c r="R21" s="73">
        <f t="shared" si="7"/>
        <v>1.1689963203322733</v>
      </c>
    </row>
    <row r="22" spans="1:33" s="86" customFormat="1" ht="21.75" customHeight="1" x14ac:dyDescent="0.35">
      <c r="A22" s="92">
        <v>19010000</v>
      </c>
      <c r="B22" s="13" t="s">
        <v>53</v>
      </c>
      <c r="C22" s="9"/>
      <c r="D22" s="155"/>
      <c r="E22" s="160"/>
      <c r="F22" s="155">
        <v>0</v>
      </c>
      <c r="G22" s="93">
        <f t="shared" si="0"/>
        <v>0</v>
      </c>
      <c r="H22" s="84" t="str">
        <f t="shared" si="8"/>
        <v/>
      </c>
      <c r="I22" s="94">
        <f>F22-D22</f>
        <v>0</v>
      </c>
      <c r="J22" s="84" t="str">
        <f t="shared" si="5"/>
        <v/>
      </c>
      <c r="K22" s="169">
        <v>3081.8</v>
      </c>
      <c r="L22" s="172">
        <f>3602612.86/1000</f>
        <v>3602.6128599999997</v>
      </c>
      <c r="M22" s="83">
        <f>L22-K22</f>
        <v>520.81285999999955</v>
      </c>
      <c r="N22" s="84">
        <f t="shared" si="6"/>
        <v>1.1689963203322733</v>
      </c>
      <c r="O22" s="83">
        <f t="shared" si="10"/>
        <v>3081.8</v>
      </c>
      <c r="P22" s="94">
        <f>L22+F22</f>
        <v>3602.6128599999997</v>
      </c>
      <c r="Q22" s="83">
        <f t="shared" si="11"/>
        <v>520.81285999999955</v>
      </c>
      <c r="R22" s="84">
        <f t="shared" si="7"/>
        <v>1.1689963203322733</v>
      </c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 ht="19.5" hidden="1" customHeight="1" x14ac:dyDescent="0.35">
      <c r="A23" s="52">
        <v>19050000</v>
      </c>
      <c r="B23" s="78" t="s">
        <v>54</v>
      </c>
      <c r="C23" s="9"/>
      <c r="D23" s="157">
        <v>0</v>
      </c>
      <c r="E23" s="158">
        <v>0</v>
      </c>
      <c r="F23" s="157">
        <v>0</v>
      </c>
      <c r="G23" s="109">
        <f t="shared" si="0"/>
        <v>0</v>
      </c>
      <c r="H23" s="73" t="str">
        <f t="shared" si="8"/>
        <v/>
      </c>
      <c r="I23" s="80">
        <f>F23-D23</f>
        <v>0</v>
      </c>
      <c r="J23" s="73" t="str">
        <f t="shared" si="5"/>
        <v/>
      </c>
      <c r="K23" s="171">
        <v>0</v>
      </c>
      <c r="L23" s="171">
        <v>0</v>
      </c>
      <c r="M23" s="72">
        <f>L23-K23</f>
        <v>0</v>
      </c>
      <c r="N23" s="73" t="str">
        <f t="shared" si="6"/>
        <v/>
      </c>
      <c r="O23" s="72">
        <f t="shared" si="10"/>
        <v>0</v>
      </c>
      <c r="P23" s="80">
        <f>L23+F23</f>
        <v>0</v>
      </c>
      <c r="Q23" s="72">
        <f t="shared" si="11"/>
        <v>0</v>
      </c>
      <c r="R23" s="73" t="str">
        <f t="shared" si="7"/>
        <v/>
      </c>
    </row>
    <row r="24" spans="1:33" ht="24" customHeight="1" x14ac:dyDescent="0.3">
      <c r="A24" s="54">
        <v>20000000</v>
      </c>
      <c r="B24" s="1" t="s">
        <v>16</v>
      </c>
      <c r="C24" s="12">
        <v>5750.4</v>
      </c>
      <c r="D24" s="154">
        <f>D25+D26+D30</f>
        <v>25035.200000000001</v>
      </c>
      <c r="E24" s="154">
        <f>E25+E26+E30</f>
        <v>23224</v>
      </c>
      <c r="F24" s="154">
        <f>F25+F26+F30</f>
        <v>29832.652139999998</v>
      </c>
      <c r="G24" s="67">
        <f>G25+G26+G30</f>
        <v>6608.6521399999983</v>
      </c>
      <c r="H24" s="73">
        <f t="shared" si="8"/>
        <v>1.2845613219083705</v>
      </c>
      <c r="I24" s="67">
        <f>I25+I26+I30</f>
        <v>4797.4521399999976</v>
      </c>
      <c r="J24" s="73">
        <f t="shared" si="5"/>
        <v>1.1916282729916277</v>
      </c>
      <c r="K24" s="168">
        <f>K25+K26+K30+K34</f>
        <v>230963.98538</v>
      </c>
      <c r="L24" s="168">
        <f>L25+L26+L30+L34</f>
        <v>225282.46790000002</v>
      </c>
      <c r="M24" s="68">
        <f>L24-K24</f>
        <v>-5681.5174799999804</v>
      </c>
      <c r="N24" s="73">
        <f t="shared" si="6"/>
        <v>0.97540085104328145</v>
      </c>
      <c r="O24" s="68">
        <f t="shared" si="10"/>
        <v>255999.18538000001</v>
      </c>
      <c r="P24" s="77">
        <f>L24+F24</f>
        <v>255115.12004000001</v>
      </c>
      <c r="Q24" s="68">
        <f t="shared" si="11"/>
        <v>-884.06534000000102</v>
      </c>
      <c r="R24" s="73">
        <f t="shared" si="7"/>
        <v>0.99654660877655643</v>
      </c>
      <c r="S24" s="16"/>
    </row>
    <row r="25" spans="1:33" ht="39" customHeight="1" x14ac:dyDescent="0.3">
      <c r="A25" s="54">
        <v>21000000</v>
      </c>
      <c r="B25" s="10" t="s">
        <v>40</v>
      </c>
      <c r="C25" s="12">
        <v>1</v>
      </c>
      <c r="D25" s="154">
        <v>13</v>
      </c>
      <c r="E25" s="161">
        <v>13</v>
      </c>
      <c r="F25" s="154">
        <v>170.85398999999998</v>
      </c>
      <c r="G25" s="67">
        <f>F25-E25</f>
        <v>157.85398999999998</v>
      </c>
      <c r="H25" s="73">
        <f t="shared" si="8"/>
        <v>13.142614615384614</v>
      </c>
      <c r="I25" s="68">
        <f>F25-D25</f>
        <v>157.85398999999998</v>
      </c>
      <c r="J25" s="73">
        <f t="shared" si="5"/>
        <v>13.142614615384614</v>
      </c>
      <c r="K25" s="168">
        <v>0</v>
      </c>
      <c r="L25" s="173">
        <f>147500/1000</f>
        <v>147.5</v>
      </c>
      <c r="M25" s="68">
        <f t="shared" ref="M25:M30" si="12">L25-K25</f>
        <v>147.5</v>
      </c>
      <c r="N25" s="73" t="str">
        <f t="shared" si="6"/>
        <v/>
      </c>
      <c r="O25" s="68">
        <f t="shared" si="10"/>
        <v>13</v>
      </c>
      <c r="P25" s="68">
        <f t="shared" ref="P25:P64" si="13">L25+F25</f>
        <v>318.35398999999995</v>
      </c>
      <c r="Q25" s="68">
        <f t="shared" si="11"/>
        <v>305.35398999999995</v>
      </c>
      <c r="R25" s="73">
        <f t="shared" si="7"/>
        <v>24.488768461538459</v>
      </c>
    </row>
    <row r="26" spans="1:33" ht="30.75" customHeight="1" x14ac:dyDescent="0.3">
      <c r="A26" s="54">
        <v>22000000</v>
      </c>
      <c r="B26" s="10" t="s">
        <v>150</v>
      </c>
      <c r="C26" s="12">
        <v>4948.8</v>
      </c>
      <c r="D26" s="154">
        <f>SUM(D28:D28)+D29+D27</f>
        <v>24022.2</v>
      </c>
      <c r="E26" s="154">
        <f>SUM(E28:E28)+E29+E27</f>
        <v>22211</v>
      </c>
      <c r="F26" s="154">
        <f>SUM(F28:F28)+F29+F27</f>
        <v>25445.198069999999</v>
      </c>
      <c r="G26" s="67">
        <f t="shared" si="0"/>
        <v>3234.1980699999986</v>
      </c>
      <c r="H26" s="73">
        <f t="shared" si="8"/>
        <v>1.145612447435955</v>
      </c>
      <c r="I26" s="67">
        <f>F26-D26</f>
        <v>1422.9980699999978</v>
      </c>
      <c r="J26" s="73">
        <f t="shared" si="5"/>
        <v>1.059236792217199</v>
      </c>
      <c r="K26" s="168">
        <f>SUM(K28:K28)+K29+K27</f>
        <v>0</v>
      </c>
      <c r="L26" s="168">
        <f>SUM(L28:L28)+L29+L27</f>
        <v>0</v>
      </c>
      <c r="M26" s="68">
        <f t="shared" si="12"/>
        <v>0</v>
      </c>
      <c r="N26" s="73" t="str">
        <f t="shared" si="6"/>
        <v/>
      </c>
      <c r="O26" s="68">
        <f t="shared" si="10"/>
        <v>24022.2</v>
      </c>
      <c r="P26" s="68">
        <f t="shared" si="13"/>
        <v>25445.198069999999</v>
      </c>
      <c r="Q26" s="68">
        <f t="shared" si="11"/>
        <v>1422.9980699999978</v>
      </c>
      <c r="R26" s="73">
        <f t="shared" si="7"/>
        <v>1.059236792217199</v>
      </c>
    </row>
    <row r="27" spans="1:33" s="86" customFormat="1" ht="21.75" customHeight="1" x14ac:dyDescent="0.35">
      <c r="A27" s="92">
        <v>22010000</v>
      </c>
      <c r="B27" s="13" t="s">
        <v>69</v>
      </c>
      <c r="C27" s="15"/>
      <c r="D27" s="155">
        <v>18522.2</v>
      </c>
      <c r="E27" s="156">
        <v>17161</v>
      </c>
      <c r="F27" s="155">
        <v>19338.560359999999</v>
      </c>
      <c r="G27" s="93">
        <f t="shared" si="0"/>
        <v>2177.5603599999995</v>
      </c>
      <c r="H27" s="84">
        <f t="shared" si="8"/>
        <v>1.1268900623506788</v>
      </c>
      <c r="I27" s="93">
        <f>F27-D27</f>
        <v>816.36035999999876</v>
      </c>
      <c r="J27" s="84">
        <f t="shared" si="5"/>
        <v>1.0440746973901587</v>
      </c>
      <c r="K27" s="174">
        <v>0</v>
      </c>
      <c r="L27" s="174">
        <v>0</v>
      </c>
      <c r="M27" s="94">
        <f t="shared" si="12"/>
        <v>0</v>
      </c>
      <c r="N27" s="84" t="str">
        <f t="shared" si="6"/>
        <v/>
      </c>
      <c r="O27" s="83">
        <f t="shared" si="10"/>
        <v>18522.2</v>
      </c>
      <c r="P27" s="94">
        <f t="shared" si="13"/>
        <v>19338.560359999999</v>
      </c>
      <c r="Q27" s="83">
        <f t="shared" si="11"/>
        <v>816.36035999999876</v>
      </c>
      <c r="R27" s="84">
        <f t="shared" si="7"/>
        <v>1.0440746973901587</v>
      </c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s="86" customFormat="1" ht="31.2" x14ac:dyDescent="0.35">
      <c r="A28" s="92">
        <v>22080000</v>
      </c>
      <c r="B28" s="13" t="s">
        <v>151</v>
      </c>
      <c r="C28" s="9">
        <v>259.60000000000002</v>
      </c>
      <c r="D28" s="155">
        <v>5500</v>
      </c>
      <c r="E28" s="156">
        <v>5050</v>
      </c>
      <c r="F28" s="155">
        <v>6094.5702099999999</v>
      </c>
      <c r="G28" s="93">
        <f t="shared" ref="G28:G34" si="14">F28-E28</f>
        <v>1044.5702099999999</v>
      </c>
      <c r="H28" s="84">
        <f t="shared" si="8"/>
        <v>1.2068455861386138</v>
      </c>
      <c r="I28" s="93">
        <f t="shared" ref="I28:I35" si="15">F28-D28</f>
        <v>594.57020999999986</v>
      </c>
      <c r="J28" s="84">
        <f t="shared" si="5"/>
        <v>1.1081036745454544</v>
      </c>
      <c r="K28" s="174">
        <v>0</v>
      </c>
      <c r="L28" s="174">
        <v>0</v>
      </c>
      <c r="M28" s="94">
        <f t="shared" si="12"/>
        <v>0</v>
      </c>
      <c r="N28" s="84" t="str">
        <f t="shared" si="6"/>
        <v/>
      </c>
      <c r="O28" s="83">
        <f t="shared" si="10"/>
        <v>5500</v>
      </c>
      <c r="P28" s="94">
        <f t="shared" si="13"/>
        <v>6094.5702099999999</v>
      </c>
      <c r="Q28" s="83">
        <f t="shared" si="11"/>
        <v>594.57020999999986</v>
      </c>
      <c r="R28" s="84">
        <f t="shared" si="7"/>
        <v>1.1081036745454544</v>
      </c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1:33" s="86" customFormat="1" ht="49.5" customHeight="1" x14ac:dyDescent="0.35">
      <c r="A29" s="92">
        <v>22130000</v>
      </c>
      <c r="B29" s="13" t="s">
        <v>152</v>
      </c>
      <c r="C29" s="9"/>
      <c r="D29" s="155">
        <v>0</v>
      </c>
      <c r="E29" s="160">
        <v>0</v>
      </c>
      <c r="F29" s="155">
        <v>12.067500000000001</v>
      </c>
      <c r="G29" s="93">
        <f t="shared" si="14"/>
        <v>12.067500000000001</v>
      </c>
      <c r="H29" s="84" t="str">
        <f t="shared" si="8"/>
        <v/>
      </c>
      <c r="I29" s="93">
        <f t="shared" si="15"/>
        <v>12.067500000000001</v>
      </c>
      <c r="J29" s="84" t="str">
        <f t="shared" si="5"/>
        <v/>
      </c>
      <c r="K29" s="174">
        <v>0</v>
      </c>
      <c r="L29" s="174">
        <v>0</v>
      </c>
      <c r="M29" s="94">
        <f t="shared" si="12"/>
        <v>0</v>
      </c>
      <c r="N29" s="84" t="str">
        <f t="shared" si="6"/>
        <v/>
      </c>
      <c r="O29" s="83">
        <f t="shared" si="10"/>
        <v>0</v>
      </c>
      <c r="P29" s="94">
        <f t="shared" si="13"/>
        <v>12.067500000000001</v>
      </c>
      <c r="Q29" s="83">
        <f t="shared" si="11"/>
        <v>12.067500000000001</v>
      </c>
      <c r="R29" s="84" t="str">
        <f t="shared" si="7"/>
        <v/>
      </c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1:33" ht="20.25" customHeight="1" x14ac:dyDescent="0.3">
      <c r="A30" s="54">
        <v>24000000</v>
      </c>
      <c r="B30" s="10" t="s">
        <v>30</v>
      </c>
      <c r="C30" s="12">
        <f>C31+C34</f>
        <v>0</v>
      </c>
      <c r="D30" s="162">
        <f>SUM(D31:D32)</f>
        <v>1000</v>
      </c>
      <c r="E30" s="163">
        <f>SUM(E31:E32)</f>
        <v>1000</v>
      </c>
      <c r="F30" s="162">
        <f>SUM(F31:F32)</f>
        <v>4216.6000800000002</v>
      </c>
      <c r="G30" s="110">
        <f t="shared" si="14"/>
        <v>3216.6000800000002</v>
      </c>
      <c r="H30" s="73">
        <f t="shared" si="8"/>
        <v>4.2166000800000001</v>
      </c>
      <c r="I30" s="110">
        <f t="shared" si="15"/>
        <v>3216.6000800000002</v>
      </c>
      <c r="J30" s="73">
        <f t="shared" si="5"/>
        <v>4.2166000800000001</v>
      </c>
      <c r="K30" s="175">
        <f>SUM(K31:K33)</f>
        <v>20350</v>
      </c>
      <c r="L30" s="175">
        <f>SUM(L31:L33)</f>
        <v>21250.119490000001</v>
      </c>
      <c r="M30" s="77">
        <f t="shared" si="12"/>
        <v>900.11949000000095</v>
      </c>
      <c r="N30" s="73">
        <f t="shared" si="6"/>
        <v>1.044231915970516</v>
      </c>
      <c r="O30" s="68">
        <f t="shared" si="10"/>
        <v>21350</v>
      </c>
      <c r="P30" s="77">
        <f t="shared" si="13"/>
        <v>25466.719570000001</v>
      </c>
      <c r="Q30" s="68">
        <f t="shared" si="11"/>
        <v>4116.7195700000011</v>
      </c>
      <c r="R30" s="73">
        <f t="shared" si="7"/>
        <v>1.1928205887587822</v>
      </c>
    </row>
    <row r="31" spans="1:33" s="86" customFormat="1" ht="20.25" customHeight="1" x14ac:dyDescent="0.35">
      <c r="A31" s="92">
        <v>24060000</v>
      </c>
      <c r="B31" s="13" t="s">
        <v>17</v>
      </c>
      <c r="C31" s="9">
        <v>0</v>
      </c>
      <c r="D31" s="155">
        <v>1000</v>
      </c>
      <c r="E31" s="160">
        <v>1000</v>
      </c>
      <c r="F31" s="155">
        <v>4216.6000800000002</v>
      </c>
      <c r="G31" s="93">
        <f t="shared" si="14"/>
        <v>3216.6000800000002</v>
      </c>
      <c r="H31" s="84">
        <f t="shared" si="8"/>
        <v>4.2166000800000001</v>
      </c>
      <c r="I31" s="93">
        <f t="shared" si="15"/>
        <v>3216.6000800000002</v>
      </c>
      <c r="J31" s="84">
        <f t="shared" si="5"/>
        <v>4.2166000800000001</v>
      </c>
      <c r="K31" s="169">
        <v>350</v>
      </c>
      <c r="L31" s="172">
        <f>1250119.49/1000</f>
        <v>1250.11949</v>
      </c>
      <c r="M31" s="83">
        <f t="shared" ref="M31:M40" si="16">L31-K31</f>
        <v>900.11949000000004</v>
      </c>
      <c r="N31" s="84">
        <f t="shared" si="6"/>
        <v>3.5717699714285716</v>
      </c>
      <c r="O31" s="83">
        <f t="shared" si="10"/>
        <v>1350</v>
      </c>
      <c r="P31" s="94">
        <f t="shared" si="13"/>
        <v>5466.7195700000002</v>
      </c>
      <c r="Q31" s="83">
        <f t="shared" si="11"/>
        <v>4116.7195700000002</v>
      </c>
      <c r="R31" s="84">
        <f t="shared" si="7"/>
        <v>4.0494219037037036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1:33" ht="21.75" hidden="1" customHeight="1" x14ac:dyDescent="0.35">
      <c r="A32" s="52">
        <v>24110000</v>
      </c>
      <c r="B32" s="78" t="s">
        <v>49</v>
      </c>
      <c r="C32" s="9"/>
      <c r="D32" s="157">
        <v>0</v>
      </c>
      <c r="E32" s="158">
        <v>0</v>
      </c>
      <c r="F32" s="157">
        <v>0</v>
      </c>
      <c r="G32" s="109">
        <v>0</v>
      </c>
      <c r="H32" s="73" t="str">
        <f t="shared" si="8"/>
        <v/>
      </c>
      <c r="I32" s="109">
        <f t="shared" si="15"/>
        <v>0</v>
      </c>
      <c r="J32" s="73" t="str">
        <f t="shared" si="5"/>
        <v/>
      </c>
      <c r="K32" s="171">
        <v>0</v>
      </c>
      <c r="L32" s="171">
        <v>0</v>
      </c>
      <c r="M32" s="72">
        <f t="shared" si="16"/>
        <v>0</v>
      </c>
      <c r="N32" s="73" t="str">
        <f t="shared" si="6"/>
        <v/>
      </c>
      <c r="O32" s="72">
        <f t="shared" si="10"/>
        <v>0</v>
      </c>
      <c r="P32" s="80">
        <f t="shared" si="13"/>
        <v>0</v>
      </c>
      <c r="Q32" s="72">
        <f t="shared" si="11"/>
        <v>0</v>
      </c>
      <c r="R32" s="73" t="str">
        <f t="shared" si="7"/>
        <v/>
      </c>
    </row>
    <row r="33" spans="1:33" ht="18" x14ac:dyDescent="0.35">
      <c r="A33" s="52" t="s">
        <v>173</v>
      </c>
      <c r="B33" s="78" t="s">
        <v>174</v>
      </c>
      <c r="C33" s="9"/>
      <c r="D33" s="157"/>
      <c r="E33" s="158"/>
      <c r="F33" s="157">
        <v>0</v>
      </c>
      <c r="G33" s="109">
        <f t="shared" si="14"/>
        <v>0</v>
      </c>
      <c r="H33" s="73" t="str">
        <f t="shared" si="8"/>
        <v/>
      </c>
      <c r="I33" s="109">
        <f t="shared" si="15"/>
        <v>0</v>
      </c>
      <c r="J33" s="73" t="str">
        <f t="shared" si="5"/>
        <v/>
      </c>
      <c r="K33" s="169">
        <v>20000</v>
      </c>
      <c r="L33" s="169">
        <v>20000</v>
      </c>
      <c r="M33" s="83">
        <f t="shared" si="16"/>
        <v>0</v>
      </c>
      <c r="N33" s="73">
        <f t="shared" si="6"/>
        <v>1</v>
      </c>
      <c r="O33" s="72">
        <f t="shared" si="10"/>
        <v>20000</v>
      </c>
      <c r="P33" s="80">
        <f t="shared" si="13"/>
        <v>20000</v>
      </c>
      <c r="Q33" s="72">
        <f t="shared" si="11"/>
        <v>0</v>
      </c>
      <c r="R33" s="73">
        <f t="shared" si="7"/>
        <v>1</v>
      </c>
    </row>
    <row r="34" spans="1:33" ht="22.2" customHeight="1" x14ac:dyDescent="0.3">
      <c r="A34" s="54">
        <v>25000000</v>
      </c>
      <c r="B34" s="10" t="s">
        <v>25</v>
      </c>
      <c r="C34" s="12"/>
      <c r="D34" s="154">
        <v>0</v>
      </c>
      <c r="E34" s="159">
        <v>0</v>
      </c>
      <c r="F34" s="154">
        <v>0</v>
      </c>
      <c r="G34" s="67">
        <f t="shared" si="14"/>
        <v>0</v>
      </c>
      <c r="H34" s="73" t="str">
        <f t="shared" si="8"/>
        <v/>
      </c>
      <c r="I34" s="67">
        <f t="shared" si="15"/>
        <v>0</v>
      </c>
      <c r="J34" s="73" t="str">
        <f t="shared" si="5"/>
        <v/>
      </c>
      <c r="K34" s="173">
        <f>210613985.38/1000</f>
        <v>210613.98538</v>
      </c>
      <c r="L34" s="173">
        <f>203884848.41/1000</f>
        <v>203884.84841000001</v>
      </c>
      <c r="M34" s="68">
        <f t="shared" si="16"/>
        <v>-6729.1369699999923</v>
      </c>
      <c r="N34" s="73">
        <f t="shared" si="6"/>
        <v>0.96804990438854777</v>
      </c>
      <c r="O34" s="68">
        <f t="shared" si="10"/>
        <v>210613.98538</v>
      </c>
      <c r="P34" s="68">
        <f t="shared" si="13"/>
        <v>203884.84841000001</v>
      </c>
      <c r="Q34" s="68">
        <f t="shared" si="11"/>
        <v>-6729.1369699999923</v>
      </c>
      <c r="R34" s="73">
        <f t="shared" si="7"/>
        <v>0.96804990438854777</v>
      </c>
    </row>
    <row r="35" spans="1:33" ht="17.399999999999999" hidden="1" x14ac:dyDescent="0.3">
      <c r="A35" s="54">
        <v>30000000</v>
      </c>
      <c r="B35" s="1" t="s">
        <v>38</v>
      </c>
      <c r="C35" s="15"/>
      <c r="D35" s="154">
        <v>0</v>
      </c>
      <c r="E35" s="159">
        <v>0</v>
      </c>
      <c r="F35" s="154">
        <v>0</v>
      </c>
      <c r="G35" s="67">
        <f t="shared" ref="G35:G51" si="17">F35-E35</f>
        <v>0</v>
      </c>
      <c r="H35" s="73" t="str">
        <f t="shared" si="8"/>
        <v/>
      </c>
      <c r="I35" s="68">
        <f t="shared" si="15"/>
        <v>0</v>
      </c>
      <c r="J35" s="73" t="str">
        <f t="shared" si="5"/>
        <v/>
      </c>
      <c r="K35" s="168">
        <v>0</v>
      </c>
      <c r="L35" s="168">
        <v>0</v>
      </c>
      <c r="M35" s="68">
        <f t="shared" si="16"/>
        <v>0</v>
      </c>
      <c r="N35" s="73" t="str">
        <f t="shared" si="6"/>
        <v/>
      </c>
      <c r="O35" s="68">
        <f t="shared" si="10"/>
        <v>0</v>
      </c>
      <c r="P35" s="68">
        <f t="shared" si="13"/>
        <v>0</v>
      </c>
      <c r="Q35" s="68">
        <f t="shared" si="11"/>
        <v>0</v>
      </c>
      <c r="R35" s="73" t="str">
        <f t="shared" si="7"/>
        <v/>
      </c>
      <c r="S35" s="16"/>
      <c r="T35" s="16"/>
      <c r="U35" s="16"/>
      <c r="V35" s="16"/>
      <c r="W35" s="17"/>
    </row>
    <row r="36" spans="1:33" ht="36.75" customHeight="1" x14ac:dyDescent="0.3">
      <c r="A36" s="54" t="s">
        <v>203</v>
      </c>
      <c r="B36" s="1" t="s">
        <v>204</v>
      </c>
      <c r="C36" s="1"/>
      <c r="D36" s="154"/>
      <c r="E36" s="159"/>
      <c r="F36" s="154"/>
      <c r="G36" s="67"/>
      <c r="H36" s="73"/>
      <c r="I36" s="68"/>
      <c r="J36" s="73"/>
      <c r="K36" s="168">
        <v>3494.0439999999999</v>
      </c>
      <c r="L36" s="168">
        <v>3494.0439999999999</v>
      </c>
      <c r="M36" s="68">
        <f>L36-K36</f>
        <v>0</v>
      </c>
      <c r="N36" s="73">
        <f t="shared" si="6"/>
        <v>1</v>
      </c>
      <c r="O36" s="68">
        <f>D36+K36</f>
        <v>3494.0439999999999</v>
      </c>
      <c r="P36" s="68">
        <f>L36+F36</f>
        <v>3494.0439999999999</v>
      </c>
      <c r="Q36" s="68">
        <f>P36-O36</f>
        <v>0</v>
      </c>
      <c r="R36" s="73">
        <f>IFERROR(P36/O36,"")</f>
        <v>1</v>
      </c>
      <c r="S36" s="16"/>
      <c r="T36" s="16"/>
      <c r="U36" s="16"/>
      <c r="V36" s="16"/>
      <c r="W36" s="17"/>
    </row>
    <row r="37" spans="1:33" ht="1.5" hidden="1" customHeight="1" x14ac:dyDescent="0.35">
      <c r="A37" s="54">
        <v>50000000</v>
      </c>
      <c r="B37" s="1" t="s">
        <v>18</v>
      </c>
      <c r="C37" s="12">
        <f>C38+C39</f>
        <v>0</v>
      </c>
      <c r="D37" s="154"/>
      <c r="E37" s="159"/>
      <c r="F37" s="154">
        <f>F38+F39</f>
        <v>0</v>
      </c>
      <c r="G37" s="67">
        <f t="shared" si="17"/>
        <v>0</v>
      </c>
      <c r="H37" s="109" t="e">
        <f>F37/E37*100</f>
        <v>#DIV/0!</v>
      </c>
      <c r="I37" s="68"/>
      <c r="J37" s="68"/>
      <c r="K37" s="168">
        <f>K38+K39</f>
        <v>0</v>
      </c>
      <c r="L37" s="168">
        <f>L38+L39</f>
        <v>0</v>
      </c>
      <c r="M37" s="68">
        <f t="shared" si="16"/>
        <v>0</v>
      </c>
      <c r="N37" s="68"/>
      <c r="O37" s="68">
        <f t="shared" si="10"/>
        <v>0</v>
      </c>
      <c r="P37" s="68">
        <f t="shared" si="13"/>
        <v>0</v>
      </c>
      <c r="Q37" s="68">
        <f t="shared" si="11"/>
        <v>0</v>
      </c>
      <c r="R37" s="68"/>
    </row>
    <row r="38" spans="1:33" ht="3" hidden="1" customHeight="1" x14ac:dyDescent="0.35">
      <c r="A38" s="52">
        <v>50080000</v>
      </c>
      <c r="B38" s="78" t="s">
        <v>19</v>
      </c>
      <c r="C38" s="9"/>
      <c r="D38" s="157"/>
      <c r="E38" s="158"/>
      <c r="F38" s="157"/>
      <c r="G38" s="109">
        <f t="shared" si="17"/>
        <v>0</v>
      </c>
      <c r="H38" s="109" t="e">
        <f>F38/E38*100</f>
        <v>#DIV/0!</v>
      </c>
      <c r="I38" s="80"/>
      <c r="J38" s="80"/>
      <c r="K38" s="171"/>
      <c r="L38" s="171"/>
      <c r="M38" s="72">
        <f t="shared" si="16"/>
        <v>0</v>
      </c>
      <c r="N38" s="80"/>
      <c r="O38" s="72">
        <f t="shared" si="10"/>
        <v>0</v>
      </c>
      <c r="P38" s="80">
        <f t="shared" si="13"/>
        <v>0</v>
      </c>
      <c r="Q38" s="72">
        <f t="shared" si="11"/>
        <v>0</v>
      </c>
      <c r="R38" s="72"/>
    </row>
    <row r="39" spans="1:33" ht="34.5" hidden="1" customHeight="1" x14ac:dyDescent="0.35">
      <c r="A39" s="52">
        <v>50110000</v>
      </c>
      <c r="B39" s="78" t="s">
        <v>20</v>
      </c>
      <c r="C39" s="9"/>
      <c r="D39" s="157"/>
      <c r="E39" s="158"/>
      <c r="F39" s="157"/>
      <c r="G39" s="109">
        <f t="shared" si="17"/>
        <v>0</v>
      </c>
      <c r="H39" s="109" t="e">
        <f>F39/E39*100</f>
        <v>#DIV/0!</v>
      </c>
      <c r="I39" s="80"/>
      <c r="J39" s="80"/>
      <c r="K39" s="171"/>
      <c r="L39" s="171"/>
      <c r="M39" s="72">
        <f t="shared" si="16"/>
        <v>0</v>
      </c>
      <c r="N39" s="80"/>
      <c r="O39" s="72">
        <f t="shared" si="10"/>
        <v>0</v>
      </c>
      <c r="P39" s="80">
        <f t="shared" si="13"/>
        <v>0</v>
      </c>
      <c r="Q39" s="72">
        <f t="shared" si="11"/>
        <v>0</v>
      </c>
      <c r="R39" s="72"/>
    </row>
    <row r="40" spans="1:33" s="46" customFormat="1" ht="21.75" customHeight="1" x14ac:dyDescent="0.3">
      <c r="A40" s="62">
        <v>90010100</v>
      </c>
      <c r="B40" s="63" t="s">
        <v>172</v>
      </c>
      <c r="C40" s="64" t="e">
        <f>C10+C24+C37+C38</f>
        <v>#REF!</v>
      </c>
      <c r="D40" s="164">
        <f>D10+D24+D37+D35</f>
        <v>825588.5</v>
      </c>
      <c r="E40" s="164">
        <f>E10+E24+E37+E35</f>
        <v>747050.4</v>
      </c>
      <c r="F40" s="164">
        <f>F10+F24+F37+F35</f>
        <v>755200.94144000008</v>
      </c>
      <c r="G40" s="71">
        <f t="shared" si="17"/>
        <v>8150.5414400000591</v>
      </c>
      <c r="H40" s="75">
        <f>IFERROR(F40/E40,"")</f>
        <v>1.0109102966011396</v>
      </c>
      <c r="I40" s="71">
        <f t="shared" ref="I40:I51" si="18">F40-D40</f>
        <v>-70387.558559999918</v>
      </c>
      <c r="J40" s="75">
        <f>IFERROR(F40/D40,"")</f>
        <v>0.9147425641708915</v>
      </c>
      <c r="K40" s="164">
        <f>K10+K24+K35+K37+K36</f>
        <v>237539.82937999998</v>
      </c>
      <c r="L40" s="164">
        <f>L10+L24+L35+L37+L36</f>
        <v>232381.25521</v>
      </c>
      <c r="M40" s="71">
        <f t="shared" si="16"/>
        <v>-5158.574169999978</v>
      </c>
      <c r="N40" s="75">
        <f>IFERROR(L40/K40,"")</f>
        <v>0.97828332964848752</v>
      </c>
      <c r="O40" s="71">
        <f t="shared" si="10"/>
        <v>1063128.32938</v>
      </c>
      <c r="P40" s="71">
        <f t="shared" si="13"/>
        <v>987582.19665000006</v>
      </c>
      <c r="Q40" s="71">
        <f t="shared" si="11"/>
        <v>-75546.132729999954</v>
      </c>
      <c r="R40" s="76">
        <f>IFERROR(P40/O40,"")</f>
        <v>0.92893978022948809</v>
      </c>
    </row>
    <row r="41" spans="1:33" ht="23.25" customHeight="1" x14ac:dyDescent="0.3">
      <c r="A41" s="54">
        <v>40000000</v>
      </c>
      <c r="B41" s="1" t="s">
        <v>26</v>
      </c>
      <c r="C41" s="8" t="e">
        <f>C42+#REF!</f>
        <v>#REF!</v>
      </c>
      <c r="D41" s="154">
        <f>D42</f>
        <v>901002.57199999993</v>
      </c>
      <c r="E41" s="154">
        <f>E42</f>
        <v>834217.8459999999</v>
      </c>
      <c r="F41" s="154">
        <f>F42</f>
        <v>834217.8459999999</v>
      </c>
      <c r="G41" s="67">
        <f t="shared" si="17"/>
        <v>0</v>
      </c>
      <c r="H41" s="73">
        <f>IFERROR(F41/E41,"")</f>
        <v>1</v>
      </c>
      <c r="I41" s="68">
        <f t="shared" si="18"/>
        <v>-66784.726000000024</v>
      </c>
      <c r="J41" s="73">
        <f>IFERROR(F41/D41,"")</f>
        <v>0.92587731924920624</v>
      </c>
      <c r="K41" s="168">
        <f>K42</f>
        <v>0</v>
      </c>
      <c r="L41" s="168">
        <f>L42</f>
        <v>0</v>
      </c>
      <c r="M41" s="68">
        <f t="shared" ref="M41:M46" si="19">L41-K41</f>
        <v>0</v>
      </c>
      <c r="N41" s="73" t="str">
        <f>IFERROR(L41/K41,"")</f>
        <v/>
      </c>
      <c r="O41" s="68">
        <f t="shared" si="10"/>
        <v>901002.57199999993</v>
      </c>
      <c r="P41" s="68">
        <f t="shared" si="13"/>
        <v>834217.8459999999</v>
      </c>
      <c r="Q41" s="68">
        <f t="shared" si="11"/>
        <v>-66784.726000000024</v>
      </c>
      <c r="R41" s="73">
        <f>IFERROR(P41/O41,"")</f>
        <v>0.92587731924920624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54">
        <v>41000000</v>
      </c>
      <c r="B42" s="1" t="s">
        <v>27</v>
      </c>
      <c r="C42" s="8" t="e">
        <f>C43+C47</f>
        <v>#REF!</v>
      </c>
      <c r="D42" s="154">
        <f>D43+D47</f>
        <v>901002.57199999993</v>
      </c>
      <c r="E42" s="154">
        <f>E43+E47</f>
        <v>834217.8459999999</v>
      </c>
      <c r="F42" s="154">
        <f>F43+F47</f>
        <v>834217.8459999999</v>
      </c>
      <c r="G42" s="67">
        <f t="shared" si="17"/>
        <v>0</v>
      </c>
      <c r="H42" s="73">
        <f t="shared" ref="H42:H67" si="20">IFERROR(F42/E42,"")</f>
        <v>1</v>
      </c>
      <c r="I42" s="68">
        <f t="shared" si="18"/>
        <v>-66784.726000000024</v>
      </c>
      <c r="J42" s="73">
        <f t="shared" ref="J42:J64" si="21">IFERROR(F42/D42,"")</f>
        <v>0.92587731924920624</v>
      </c>
      <c r="K42" s="168">
        <f>K43+K47</f>
        <v>0</v>
      </c>
      <c r="L42" s="168">
        <f>L43+L47</f>
        <v>0</v>
      </c>
      <c r="M42" s="68">
        <f t="shared" si="19"/>
        <v>0</v>
      </c>
      <c r="N42" s="73" t="str">
        <f t="shared" ref="N42:N64" si="22">IFERROR(L42/K42,"")</f>
        <v/>
      </c>
      <c r="O42" s="68">
        <f t="shared" si="10"/>
        <v>901002.57199999993</v>
      </c>
      <c r="P42" s="68">
        <f t="shared" si="13"/>
        <v>834217.8459999999</v>
      </c>
      <c r="Q42" s="68">
        <f t="shared" si="11"/>
        <v>-66784.726000000024</v>
      </c>
      <c r="R42" s="73">
        <f t="shared" ref="R42:R64" si="23">IFERROR(P42/O42,"")</f>
        <v>0.92587731924920624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59" customFormat="1" ht="28.5" customHeight="1" x14ac:dyDescent="0.3">
      <c r="A43" s="54">
        <v>41020000</v>
      </c>
      <c r="B43" s="1" t="s">
        <v>169</v>
      </c>
      <c r="C43" s="58">
        <f>SUM(C44:C44)</f>
        <v>226954.7</v>
      </c>
      <c r="D43" s="162">
        <f>D44+D45+D46</f>
        <v>417772.28</v>
      </c>
      <c r="E43" s="162">
        <f>E44+E45+E46</f>
        <v>383971.18</v>
      </c>
      <c r="F43" s="162">
        <f>F44+F45+F46</f>
        <v>383971.18</v>
      </c>
      <c r="G43" s="110">
        <f t="shared" si="17"/>
        <v>0</v>
      </c>
      <c r="H43" s="73">
        <f t="shared" si="20"/>
        <v>1</v>
      </c>
      <c r="I43" s="77">
        <f t="shared" si="18"/>
        <v>-33801.100000000035</v>
      </c>
      <c r="J43" s="73">
        <f t="shared" si="21"/>
        <v>0.91909204698789482</v>
      </c>
      <c r="K43" s="175">
        <f>K44+K45</f>
        <v>0</v>
      </c>
      <c r="L43" s="175">
        <f>L44+L45</f>
        <v>0</v>
      </c>
      <c r="M43" s="77">
        <f t="shared" si="19"/>
        <v>0</v>
      </c>
      <c r="N43" s="73" t="str">
        <f t="shared" si="22"/>
        <v/>
      </c>
      <c r="O43" s="77">
        <f t="shared" si="10"/>
        <v>417772.28</v>
      </c>
      <c r="P43" s="77">
        <f t="shared" si="13"/>
        <v>383971.18</v>
      </c>
      <c r="Q43" s="77">
        <f t="shared" si="11"/>
        <v>-33801.100000000035</v>
      </c>
      <c r="R43" s="73">
        <f t="shared" si="23"/>
        <v>0.91909204698789482</v>
      </c>
    </row>
    <row r="44" spans="1:33" s="86" customFormat="1" ht="28.5" customHeight="1" x14ac:dyDescent="0.35">
      <c r="A44" s="92">
        <v>41020100</v>
      </c>
      <c r="B44" s="13" t="s">
        <v>58</v>
      </c>
      <c r="C44" s="18">
        <v>226954.7</v>
      </c>
      <c r="D44" s="155">
        <v>291863.8</v>
      </c>
      <c r="E44" s="156">
        <v>267542</v>
      </c>
      <c r="F44" s="155">
        <v>267542</v>
      </c>
      <c r="G44" s="93">
        <f t="shared" si="17"/>
        <v>0</v>
      </c>
      <c r="H44" s="84">
        <f t="shared" si="20"/>
        <v>1</v>
      </c>
      <c r="I44" s="94">
        <f t="shared" si="18"/>
        <v>-24321.799999999988</v>
      </c>
      <c r="J44" s="84">
        <f t="shared" si="21"/>
        <v>0.91666729481353981</v>
      </c>
      <c r="K44" s="174">
        <v>0</v>
      </c>
      <c r="L44" s="174">
        <v>0</v>
      </c>
      <c r="M44" s="94">
        <f t="shared" si="19"/>
        <v>0</v>
      </c>
      <c r="N44" s="84" t="str">
        <f t="shared" si="22"/>
        <v/>
      </c>
      <c r="O44" s="94">
        <f t="shared" si="10"/>
        <v>291863.8</v>
      </c>
      <c r="P44" s="94">
        <f t="shared" si="13"/>
        <v>267542</v>
      </c>
      <c r="Q44" s="94">
        <f t="shared" si="11"/>
        <v>-24321.799999999988</v>
      </c>
      <c r="R44" s="84">
        <f t="shared" si="23"/>
        <v>0.91666729481353981</v>
      </c>
    </row>
    <row r="45" spans="1:33" s="86" customFormat="1" ht="46.8" x14ac:dyDescent="0.35">
      <c r="A45" s="92">
        <v>41020200</v>
      </c>
      <c r="B45" s="13" t="s">
        <v>101</v>
      </c>
      <c r="C45" s="18"/>
      <c r="D45" s="155">
        <v>113751.6</v>
      </c>
      <c r="E45" s="156">
        <v>104272.3</v>
      </c>
      <c r="F45" s="155">
        <v>104272.3</v>
      </c>
      <c r="G45" s="93">
        <f t="shared" si="17"/>
        <v>0</v>
      </c>
      <c r="H45" s="84">
        <f t="shared" si="20"/>
        <v>1</v>
      </c>
      <c r="I45" s="94">
        <f t="shared" si="18"/>
        <v>-9479.3000000000029</v>
      </c>
      <c r="J45" s="84">
        <f t="shared" si="21"/>
        <v>0.91666666666666663</v>
      </c>
      <c r="K45" s="174">
        <v>0</v>
      </c>
      <c r="L45" s="174">
        <v>0</v>
      </c>
      <c r="M45" s="94">
        <f t="shared" si="19"/>
        <v>0</v>
      </c>
      <c r="N45" s="84" t="str">
        <f t="shared" si="22"/>
        <v/>
      </c>
      <c r="O45" s="94">
        <f>D45+K45</f>
        <v>113751.6</v>
      </c>
      <c r="P45" s="94">
        <f>L45+F45</f>
        <v>104272.3</v>
      </c>
      <c r="Q45" s="94">
        <f>P45-O45</f>
        <v>-9479.3000000000029</v>
      </c>
      <c r="R45" s="84">
        <f t="shared" si="23"/>
        <v>0.91666666666666663</v>
      </c>
    </row>
    <row r="46" spans="1:33" ht="78" customHeight="1" x14ac:dyDescent="0.35">
      <c r="A46" s="92" t="s">
        <v>205</v>
      </c>
      <c r="B46" s="13" t="s">
        <v>206</v>
      </c>
      <c r="C46" s="18"/>
      <c r="D46" s="155">
        <v>12156.88</v>
      </c>
      <c r="E46" s="156">
        <v>12156.88</v>
      </c>
      <c r="F46" s="155">
        <v>12156.88</v>
      </c>
      <c r="G46" s="93">
        <f>F46-E46</f>
        <v>0</v>
      </c>
      <c r="H46" s="93">
        <f>IFERROR(F46/E46,"")</f>
        <v>1</v>
      </c>
      <c r="I46" s="93">
        <f>F46-D46</f>
        <v>0</v>
      </c>
      <c r="J46" s="84">
        <f t="shared" si="21"/>
        <v>1</v>
      </c>
      <c r="K46" s="176">
        <v>0</v>
      </c>
      <c r="L46" s="176">
        <v>0</v>
      </c>
      <c r="M46" s="80">
        <f t="shared" si="19"/>
        <v>0</v>
      </c>
      <c r="N46" s="74" t="str">
        <f>IFERROR(L46/K46,"")</f>
        <v/>
      </c>
      <c r="O46" s="93">
        <f>D46+K46</f>
        <v>12156.88</v>
      </c>
      <c r="P46" s="93">
        <f>L46+F46</f>
        <v>12156.88</v>
      </c>
      <c r="Q46" s="93">
        <f>P46-O46</f>
        <v>0</v>
      </c>
      <c r="R46" s="84">
        <f t="shared" si="23"/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54">
        <v>41030000</v>
      </c>
      <c r="B47" s="1" t="s">
        <v>153</v>
      </c>
      <c r="C47" s="12" t="e">
        <f>#REF!</f>
        <v>#REF!</v>
      </c>
      <c r="D47" s="154">
        <f>SUM(D48:D65)</f>
        <v>483230.2919999999</v>
      </c>
      <c r="E47" s="154">
        <f>SUM(E48:E65)</f>
        <v>450246.66599999985</v>
      </c>
      <c r="F47" s="154">
        <f>SUM(F48:F65)</f>
        <v>450246.66599999985</v>
      </c>
      <c r="G47" s="67">
        <f>SUM(G48:G64)</f>
        <v>0</v>
      </c>
      <c r="H47" s="73">
        <f t="shared" si="20"/>
        <v>1</v>
      </c>
      <c r="I47" s="77">
        <f t="shared" si="18"/>
        <v>-32983.626000000047</v>
      </c>
      <c r="J47" s="73">
        <f t="shared" si="21"/>
        <v>0.93174346363203564</v>
      </c>
      <c r="K47" s="154">
        <f>SUM(K48:K65)</f>
        <v>0</v>
      </c>
      <c r="L47" s="154">
        <f>SUM(L48:L65)</f>
        <v>0</v>
      </c>
      <c r="M47" s="67">
        <f>SUM(M48:M64)</f>
        <v>0</v>
      </c>
      <c r="N47" s="73" t="str">
        <f t="shared" si="22"/>
        <v/>
      </c>
      <c r="O47" s="67">
        <f>SUM(O48:O64)</f>
        <v>483230.2919999999</v>
      </c>
      <c r="P47" s="67">
        <f>SUM(P48:P64)</f>
        <v>450246.66599999985</v>
      </c>
      <c r="Q47" s="67">
        <f>SUM(Q48:Q64)</f>
        <v>-32983.625999999997</v>
      </c>
      <c r="R47" s="73">
        <f t="shared" si="23"/>
        <v>0.93174346363203564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218.4" x14ac:dyDescent="0.35">
      <c r="A48" s="92">
        <v>41030500</v>
      </c>
      <c r="B48" s="13" t="s">
        <v>175</v>
      </c>
      <c r="C48" s="9"/>
      <c r="D48" s="155">
        <v>33178.699999999997</v>
      </c>
      <c r="E48" s="165">
        <v>33178.699999999997</v>
      </c>
      <c r="F48" s="155">
        <v>33178.699999999997</v>
      </c>
      <c r="G48" s="93">
        <f t="shared" si="17"/>
        <v>0</v>
      </c>
      <c r="H48" s="84">
        <f t="shared" si="20"/>
        <v>1</v>
      </c>
      <c r="I48" s="94">
        <f t="shared" si="18"/>
        <v>0</v>
      </c>
      <c r="J48" s="84">
        <f t="shared" si="21"/>
        <v>1</v>
      </c>
      <c r="K48" s="174"/>
      <c r="L48" s="174"/>
      <c r="M48" s="94">
        <f t="shared" ref="M48:M63" si="24">L48-K48</f>
        <v>0</v>
      </c>
      <c r="N48" s="84" t="str">
        <f t="shared" si="22"/>
        <v/>
      </c>
      <c r="O48" s="94">
        <f t="shared" si="10"/>
        <v>33178.699999999997</v>
      </c>
      <c r="P48" s="94">
        <f t="shared" si="13"/>
        <v>33178.699999999997</v>
      </c>
      <c r="Q48" s="94">
        <f t="shared" ref="Q48:Q69" si="25">P48-O48</f>
        <v>0</v>
      </c>
      <c r="R48" s="84">
        <f t="shared" si="23"/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30" customHeight="1" x14ac:dyDescent="0.35">
      <c r="A49" s="92" t="s">
        <v>209</v>
      </c>
      <c r="B49" s="13" t="s">
        <v>210</v>
      </c>
      <c r="C49" s="9"/>
      <c r="D49" s="155">
        <v>49774</v>
      </c>
      <c r="E49" s="165">
        <v>49774</v>
      </c>
      <c r="F49" s="155">
        <v>49774</v>
      </c>
      <c r="G49" s="93">
        <f>F49-E49</f>
        <v>0</v>
      </c>
      <c r="H49" s="84">
        <f t="shared" si="20"/>
        <v>1</v>
      </c>
      <c r="I49" s="94">
        <f t="shared" si="18"/>
        <v>0</v>
      </c>
      <c r="J49" s="84">
        <f t="shared" si="21"/>
        <v>1</v>
      </c>
      <c r="K49" s="174"/>
      <c r="L49" s="174"/>
      <c r="M49" s="94">
        <f>L49-K49</f>
        <v>0</v>
      </c>
      <c r="N49" s="84" t="str">
        <f t="shared" si="22"/>
        <v/>
      </c>
      <c r="O49" s="94">
        <f>D49+K49</f>
        <v>49774</v>
      </c>
      <c r="P49" s="94">
        <f>L49+F49</f>
        <v>49774</v>
      </c>
      <c r="Q49" s="94">
        <f t="shared" si="25"/>
        <v>0</v>
      </c>
      <c r="R49" s="84">
        <f t="shared" si="23"/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46.8" x14ac:dyDescent="0.35">
      <c r="A50" s="92" t="s">
        <v>207</v>
      </c>
      <c r="B50" s="13" t="s">
        <v>208</v>
      </c>
      <c r="C50" s="9"/>
      <c r="D50" s="155">
        <v>457.4</v>
      </c>
      <c r="E50" s="165">
        <v>415.8</v>
      </c>
      <c r="F50" s="155">
        <v>415.8</v>
      </c>
      <c r="G50" s="93">
        <f>F50-E50</f>
        <v>0</v>
      </c>
      <c r="H50" s="93">
        <f>IFERROR(F50/E50,"")</f>
        <v>1</v>
      </c>
      <c r="I50" s="93">
        <f>F50-D50</f>
        <v>-41.599999999999966</v>
      </c>
      <c r="J50" s="84">
        <f t="shared" si="21"/>
        <v>0.90905115872321829</v>
      </c>
      <c r="K50" s="174"/>
      <c r="L50" s="174"/>
      <c r="M50" s="94"/>
      <c r="N50" s="84"/>
      <c r="O50" s="94">
        <f>D50+K50</f>
        <v>457.4</v>
      </c>
      <c r="P50" s="94">
        <f>L50+F50</f>
        <v>415.8</v>
      </c>
      <c r="Q50" s="94">
        <f>P50-O50</f>
        <v>-41.599999999999966</v>
      </c>
      <c r="R50" s="84">
        <f>IFERROR(P50/O50,"")</f>
        <v>0.90905115872321829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86" customFormat="1" ht="31.2" x14ac:dyDescent="0.35">
      <c r="A51" s="92">
        <v>41033000</v>
      </c>
      <c r="B51" s="13" t="s">
        <v>195</v>
      </c>
      <c r="C51" s="9"/>
      <c r="D51" s="155">
        <v>46623.199999999997</v>
      </c>
      <c r="E51" s="165">
        <v>42737.9</v>
      </c>
      <c r="F51" s="155">
        <v>42737.9</v>
      </c>
      <c r="G51" s="93">
        <f t="shared" si="17"/>
        <v>0</v>
      </c>
      <c r="H51" s="84">
        <f t="shared" si="20"/>
        <v>1</v>
      </c>
      <c r="I51" s="94">
        <f t="shared" si="18"/>
        <v>-3885.2999999999956</v>
      </c>
      <c r="J51" s="84">
        <f t="shared" si="21"/>
        <v>0.91666595171502607</v>
      </c>
      <c r="K51" s="174"/>
      <c r="L51" s="174"/>
      <c r="M51" s="94">
        <f t="shared" si="24"/>
        <v>0</v>
      </c>
      <c r="N51" s="84" t="str">
        <f t="shared" si="22"/>
        <v/>
      </c>
      <c r="O51" s="94">
        <f>D51+K51</f>
        <v>46623.199999999997</v>
      </c>
      <c r="P51" s="94">
        <f>L51+F51</f>
        <v>42737.9</v>
      </c>
      <c r="Q51" s="94">
        <f t="shared" si="25"/>
        <v>-3885.2999999999956</v>
      </c>
      <c r="R51" s="84">
        <f t="shared" si="23"/>
        <v>0.91666595171502607</v>
      </c>
    </row>
    <row r="52" spans="1:33" s="86" customFormat="1" ht="31.2" x14ac:dyDescent="0.35">
      <c r="A52" s="92">
        <v>41033800</v>
      </c>
      <c r="B52" s="13" t="s">
        <v>186</v>
      </c>
      <c r="C52" s="9"/>
      <c r="D52" s="155">
        <v>5119</v>
      </c>
      <c r="E52" s="155">
        <v>5119</v>
      </c>
      <c r="F52" s="155">
        <v>5119</v>
      </c>
      <c r="G52" s="93"/>
      <c r="H52" s="84"/>
      <c r="I52" s="94"/>
      <c r="J52" s="84"/>
      <c r="K52" s="174"/>
      <c r="L52" s="174"/>
      <c r="M52" s="94">
        <f t="shared" si="24"/>
        <v>0</v>
      </c>
      <c r="N52" s="84"/>
      <c r="O52" s="94">
        <f>D52+K52</f>
        <v>5119</v>
      </c>
      <c r="P52" s="94">
        <f>L52+F52</f>
        <v>5119</v>
      </c>
      <c r="Q52" s="94">
        <f>P52-O52</f>
        <v>0</v>
      </c>
      <c r="R52" s="84">
        <f>IFERROR(P52/O52,"")</f>
        <v>1</v>
      </c>
    </row>
    <row r="53" spans="1:33" s="86" customFormat="1" ht="29.25" customHeight="1" x14ac:dyDescent="0.35">
      <c r="A53" s="92" t="s">
        <v>102</v>
      </c>
      <c r="B53" s="13" t="s">
        <v>106</v>
      </c>
      <c r="C53" s="9"/>
      <c r="D53" s="155">
        <v>180590.8</v>
      </c>
      <c r="E53" s="165">
        <v>164702.29999999999</v>
      </c>
      <c r="F53" s="155">
        <v>164702.29999999999</v>
      </c>
      <c r="G53" s="93">
        <f t="shared" ref="G53:G69" si="26">F53-E53</f>
        <v>0</v>
      </c>
      <c r="H53" s="84">
        <f t="shared" si="20"/>
        <v>1</v>
      </c>
      <c r="I53" s="94">
        <f t="shared" ref="I53:I69" si="27">F53-D53</f>
        <v>-15888.5</v>
      </c>
      <c r="J53" s="84">
        <f t="shared" si="21"/>
        <v>0.912019327673392</v>
      </c>
      <c r="K53" s="174"/>
      <c r="L53" s="174"/>
      <c r="M53" s="94">
        <f t="shared" si="24"/>
        <v>0</v>
      </c>
      <c r="N53" s="84" t="str">
        <f t="shared" si="22"/>
        <v/>
      </c>
      <c r="O53" s="94">
        <f t="shared" si="10"/>
        <v>180590.8</v>
      </c>
      <c r="P53" s="94">
        <f t="shared" si="13"/>
        <v>164702.29999999999</v>
      </c>
      <c r="Q53" s="94">
        <f t="shared" si="25"/>
        <v>-15888.5</v>
      </c>
      <c r="R53" s="84">
        <f t="shared" si="23"/>
        <v>0.912019327673392</v>
      </c>
    </row>
    <row r="54" spans="1:33" ht="62.4" x14ac:dyDescent="0.35">
      <c r="A54" s="92" t="s">
        <v>103</v>
      </c>
      <c r="B54" s="13" t="s">
        <v>211</v>
      </c>
      <c r="C54" s="9"/>
      <c r="D54" s="155">
        <v>39748.6</v>
      </c>
      <c r="E54" s="165">
        <v>39748.6</v>
      </c>
      <c r="F54" s="155">
        <v>39748.6</v>
      </c>
      <c r="G54" s="93">
        <f t="shared" si="26"/>
        <v>0</v>
      </c>
      <c r="H54" s="84">
        <f t="shared" si="20"/>
        <v>1</v>
      </c>
      <c r="I54" s="94">
        <f t="shared" si="27"/>
        <v>0</v>
      </c>
      <c r="J54" s="84">
        <f t="shared" si="21"/>
        <v>1</v>
      </c>
      <c r="K54" s="174"/>
      <c r="L54" s="174"/>
      <c r="M54" s="94">
        <f t="shared" si="24"/>
        <v>0</v>
      </c>
      <c r="N54" s="84" t="str">
        <f t="shared" si="22"/>
        <v/>
      </c>
      <c r="O54" s="94">
        <f t="shared" si="10"/>
        <v>39748.6</v>
      </c>
      <c r="P54" s="94">
        <f t="shared" si="13"/>
        <v>39748.6</v>
      </c>
      <c r="Q54" s="94">
        <f t="shared" si="25"/>
        <v>0</v>
      </c>
      <c r="R54" s="84">
        <f t="shared" si="23"/>
        <v>1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31.2" hidden="1" x14ac:dyDescent="0.35">
      <c r="A55" s="92">
        <v>41034500</v>
      </c>
      <c r="B55" s="13" t="s">
        <v>181</v>
      </c>
      <c r="C55" s="9"/>
      <c r="D55" s="155"/>
      <c r="E55" s="160"/>
      <c r="F55" s="155"/>
      <c r="G55" s="93">
        <f>F55-E55</f>
        <v>0</v>
      </c>
      <c r="H55" s="84" t="str">
        <f>IFERROR(F55/E55,"")</f>
        <v/>
      </c>
      <c r="I55" s="94">
        <f>F55-D55</f>
        <v>0</v>
      </c>
      <c r="J55" s="84" t="str">
        <f>IFERROR(F55/D55,"")</f>
        <v/>
      </c>
      <c r="K55" s="174"/>
      <c r="L55" s="174"/>
      <c r="M55" s="94">
        <f>L55-K55</f>
        <v>0</v>
      </c>
      <c r="N55" s="84" t="str">
        <f>IFERROR(L55/K55,"")</f>
        <v/>
      </c>
      <c r="O55" s="94">
        <f t="shared" ref="O55:O64" si="28">D55+K55</f>
        <v>0</v>
      </c>
      <c r="P55" s="94">
        <f t="shared" ref="P55:P63" si="29">L55+F55</f>
        <v>0</v>
      </c>
      <c r="Q55" s="94">
        <f>P55-O55</f>
        <v>0</v>
      </c>
      <c r="R55" s="84" t="str">
        <f>IFERROR(P55/O55,"")</f>
        <v/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31.2" hidden="1" x14ac:dyDescent="0.35">
      <c r="A56" s="92">
        <v>41035300</v>
      </c>
      <c r="B56" s="13" t="s">
        <v>187</v>
      </c>
      <c r="C56" s="9"/>
      <c r="D56" s="155">
        <v>0</v>
      </c>
      <c r="E56" s="160">
        <v>0</v>
      </c>
      <c r="F56" s="155">
        <v>0</v>
      </c>
      <c r="G56" s="93">
        <f>F56-E56</f>
        <v>0</v>
      </c>
      <c r="H56" s="84" t="str">
        <f>IFERROR(F56/E56,"")</f>
        <v/>
      </c>
      <c r="I56" s="94">
        <f>F56-D56</f>
        <v>0</v>
      </c>
      <c r="J56" s="84" t="str">
        <f>IFERROR(F56/D56,"")</f>
        <v/>
      </c>
      <c r="K56" s="174">
        <v>0</v>
      </c>
      <c r="L56" s="174">
        <v>0</v>
      </c>
      <c r="M56" s="94">
        <f>L56-K56</f>
        <v>0</v>
      </c>
      <c r="N56" s="84"/>
      <c r="O56" s="94">
        <f t="shared" si="28"/>
        <v>0</v>
      </c>
      <c r="P56" s="94">
        <f t="shared" si="29"/>
        <v>0</v>
      </c>
      <c r="Q56" s="94">
        <f>P56-O56</f>
        <v>0</v>
      </c>
      <c r="R56" s="84" t="str">
        <f>IFERROR(P56/O56,"")</f>
        <v/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31.2" x14ac:dyDescent="0.35">
      <c r="A57" s="92" t="s">
        <v>104</v>
      </c>
      <c r="B57" s="13" t="s">
        <v>94</v>
      </c>
      <c r="C57" s="9"/>
      <c r="D57" s="155">
        <v>8445.1</v>
      </c>
      <c r="E57" s="155">
        <v>8445.1</v>
      </c>
      <c r="F57" s="155">
        <v>8445.1</v>
      </c>
      <c r="G57" s="93">
        <f t="shared" si="26"/>
        <v>0</v>
      </c>
      <c r="H57" s="84">
        <f t="shared" si="20"/>
        <v>1</v>
      </c>
      <c r="I57" s="94">
        <f t="shared" si="27"/>
        <v>0</v>
      </c>
      <c r="J57" s="84">
        <f t="shared" si="21"/>
        <v>1</v>
      </c>
      <c r="K57" s="174"/>
      <c r="L57" s="174"/>
      <c r="M57" s="94">
        <f t="shared" si="24"/>
        <v>0</v>
      </c>
      <c r="N57" s="84" t="str">
        <f t="shared" si="22"/>
        <v/>
      </c>
      <c r="O57" s="94">
        <f t="shared" si="28"/>
        <v>8445.1</v>
      </c>
      <c r="P57" s="94">
        <f t="shared" si="29"/>
        <v>8445.1</v>
      </c>
      <c r="Q57" s="94">
        <f t="shared" si="25"/>
        <v>0</v>
      </c>
      <c r="R57" s="84">
        <f t="shared" si="23"/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46.8" hidden="1" x14ac:dyDescent="0.35">
      <c r="A58" s="92">
        <v>41035600</v>
      </c>
      <c r="B58" s="13" t="s">
        <v>185</v>
      </c>
      <c r="C58" s="9"/>
      <c r="D58" s="155"/>
      <c r="E58" s="160"/>
      <c r="F58" s="155"/>
      <c r="G58" s="93">
        <f t="shared" si="26"/>
        <v>0</v>
      </c>
      <c r="H58" s="84" t="str">
        <f t="shared" si="20"/>
        <v/>
      </c>
      <c r="I58" s="94">
        <f t="shared" si="27"/>
        <v>0</v>
      </c>
      <c r="J58" s="84" t="str">
        <f t="shared" si="21"/>
        <v/>
      </c>
      <c r="K58" s="174"/>
      <c r="L58" s="174"/>
      <c r="M58" s="94">
        <f t="shared" si="24"/>
        <v>0</v>
      </c>
      <c r="N58" s="84"/>
      <c r="O58" s="94">
        <f t="shared" si="28"/>
        <v>0</v>
      </c>
      <c r="P58" s="94">
        <f t="shared" si="29"/>
        <v>0</v>
      </c>
      <c r="Q58" s="94">
        <f t="shared" ref="Q58:Q63" si="30">P58-O58</f>
        <v>0</v>
      </c>
      <c r="R58" s="84" t="str">
        <f t="shared" ref="R58:R63" si="31">IFERROR(P58/O58,"")</f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62.4" x14ac:dyDescent="0.35">
      <c r="A59" s="92" t="s">
        <v>213</v>
      </c>
      <c r="B59" s="13" t="s">
        <v>214</v>
      </c>
      <c r="C59" s="9"/>
      <c r="D59" s="155">
        <v>1161.8689999999999</v>
      </c>
      <c r="E59" s="165">
        <v>70.789000000000001</v>
      </c>
      <c r="F59" s="155">
        <v>70.789000000000001</v>
      </c>
      <c r="G59" s="93">
        <f t="shared" si="26"/>
        <v>0</v>
      </c>
      <c r="H59" s="84">
        <f>IFERROR(F59/E59,"")</f>
        <v>1</v>
      </c>
      <c r="I59" s="94">
        <f>F59-D59</f>
        <v>-1091.08</v>
      </c>
      <c r="J59" s="84">
        <f t="shared" si="21"/>
        <v>6.092683426444806E-2</v>
      </c>
      <c r="K59" s="174"/>
      <c r="L59" s="174"/>
      <c r="M59" s="94">
        <f t="shared" si="24"/>
        <v>0</v>
      </c>
      <c r="N59" s="84" t="str">
        <f>IFERROR(L59/K59,"")</f>
        <v/>
      </c>
      <c r="O59" s="94">
        <f t="shared" si="28"/>
        <v>1161.8689999999999</v>
      </c>
      <c r="P59" s="94">
        <f t="shared" si="29"/>
        <v>70.789000000000001</v>
      </c>
      <c r="Q59" s="94">
        <f t="shared" si="30"/>
        <v>-1091.08</v>
      </c>
      <c r="R59" s="84">
        <f t="shared" si="31"/>
        <v>6.092683426444806E-2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71.6" x14ac:dyDescent="0.35">
      <c r="A60" s="92">
        <v>41036100</v>
      </c>
      <c r="B60" s="13" t="s">
        <v>182</v>
      </c>
      <c r="C60" s="9"/>
      <c r="D60" s="155">
        <v>54610.665000000001</v>
      </c>
      <c r="E60" s="165">
        <v>42533.519</v>
      </c>
      <c r="F60" s="155">
        <v>42533.519</v>
      </c>
      <c r="G60" s="93">
        <f t="shared" si="26"/>
        <v>0</v>
      </c>
      <c r="H60" s="84">
        <f>IFERROR(F60/E60,"")</f>
        <v>1</v>
      </c>
      <c r="I60" s="94">
        <f>F60-D60</f>
        <v>-12077.146000000001</v>
      </c>
      <c r="J60" s="84">
        <f>IFERROR(F60/D60,"")</f>
        <v>0.77885004696426974</v>
      </c>
      <c r="K60" s="174"/>
      <c r="L60" s="174"/>
      <c r="M60" s="94">
        <f t="shared" si="24"/>
        <v>0</v>
      </c>
      <c r="N60" s="84"/>
      <c r="O60" s="94">
        <f t="shared" si="28"/>
        <v>54610.665000000001</v>
      </c>
      <c r="P60" s="94">
        <f t="shared" si="29"/>
        <v>42533.519</v>
      </c>
      <c r="Q60" s="94">
        <f t="shared" si="30"/>
        <v>-12077.146000000001</v>
      </c>
      <c r="R60" s="84">
        <f t="shared" si="31"/>
        <v>0.77885004696426974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6" x14ac:dyDescent="0.35">
      <c r="A61" s="92">
        <v>41036400</v>
      </c>
      <c r="B61" s="13" t="s">
        <v>183</v>
      </c>
      <c r="C61" s="9"/>
      <c r="D61" s="155">
        <v>16127.458000000001</v>
      </c>
      <c r="E61" s="155">
        <v>16127.458000000001</v>
      </c>
      <c r="F61" s="155">
        <v>16127.458000000001</v>
      </c>
      <c r="G61" s="93">
        <f t="shared" si="26"/>
        <v>0</v>
      </c>
      <c r="H61" s="84">
        <f>IFERROR(F61/E61,"")</f>
        <v>1</v>
      </c>
      <c r="I61" s="94">
        <f>F61-D61</f>
        <v>0</v>
      </c>
      <c r="J61" s="84">
        <f>IFERROR(F61/D61,"")</f>
        <v>1</v>
      </c>
      <c r="K61" s="174"/>
      <c r="L61" s="174"/>
      <c r="M61" s="94">
        <f t="shared" si="24"/>
        <v>0</v>
      </c>
      <c r="N61" s="84"/>
      <c r="O61" s="94">
        <f t="shared" si="28"/>
        <v>16127.458000000001</v>
      </c>
      <c r="P61" s="94">
        <f t="shared" si="29"/>
        <v>16127.458000000001</v>
      </c>
      <c r="Q61" s="94">
        <f t="shared" si="30"/>
        <v>0</v>
      </c>
      <c r="R61" s="84">
        <f t="shared" si="31"/>
        <v>1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31.2" hidden="1" x14ac:dyDescent="0.35">
      <c r="A62" s="92">
        <v>41037000</v>
      </c>
      <c r="B62" s="13" t="s">
        <v>188</v>
      </c>
      <c r="C62" s="9"/>
      <c r="D62" s="155"/>
      <c r="E62" s="155"/>
      <c r="F62" s="155"/>
      <c r="G62" s="93">
        <f t="shared" si="26"/>
        <v>0</v>
      </c>
      <c r="H62" s="84" t="str">
        <f>IFERROR(F62/E62,"")</f>
        <v/>
      </c>
      <c r="I62" s="94">
        <f>F62-D62</f>
        <v>0</v>
      </c>
      <c r="J62" s="84" t="str">
        <f>IFERROR(F62/D62,"")</f>
        <v/>
      </c>
      <c r="K62" s="174"/>
      <c r="L62" s="174"/>
      <c r="M62" s="94">
        <f t="shared" si="24"/>
        <v>0</v>
      </c>
      <c r="N62" s="84"/>
      <c r="O62" s="94">
        <f t="shared" si="28"/>
        <v>0</v>
      </c>
      <c r="P62" s="94">
        <f t="shared" si="29"/>
        <v>0</v>
      </c>
      <c r="Q62" s="94">
        <f t="shared" si="30"/>
        <v>0</v>
      </c>
      <c r="R62" s="84" t="str">
        <f t="shared" si="31"/>
        <v/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31.2" x14ac:dyDescent="0.35">
      <c r="A63" s="92">
        <v>41037200</v>
      </c>
      <c r="B63" s="13" t="s">
        <v>184</v>
      </c>
      <c r="C63" s="9"/>
      <c r="D63" s="155">
        <v>47393.5</v>
      </c>
      <c r="E63" s="155">
        <v>47393.5</v>
      </c>
      <c r="F63" s="155">
        <v>47393.5</v>
      </c>
      <c r="G63" s="93">
        <f t="shared" si="26"/>
        <v>0</v>
      </c>
      <c r="H63" s="84">
        <f>IFERROR(F63/E63,"")</f>
        <v>1</v>
      </c>
      <c r="I63" s="94">
        <f>F63-D63</f>
        <v>0</v>
      </c>
      <c r="J63" s="84">
        <f>IFERROR(F63/D63,"")</f>
        <v>1</v>
      </c>
      <c r="K63" s="174"/>
      <c r="L63" s="174"/>
      <c r="M63" s="94">
        <f t="shared" si="24"/>
        <v>0</v>
      </c>
      <c r="N63" s="84"/>
      <c r="O63" s="94">
        <f t="shared" si="28"/>
        <v>47393.5</v>
      </c>
      <c r="P63" s="94">
        <f t="shared" si="29"/>
        <v>47393.5</v>
      </c>
      <c r="Q63" s="94">
        <f t="shared" si="30"/>
        <v>0</v>
      </c>
      <c r="R63" s="84">
        <f t="shared" si="31"/>
        <v>1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62.4" hidden="1" x14ac:dyDescent="0.35">
      <c r="A64" s="92" t="s">
        <v>105</v>
      </c>
      <c r="B64" s="13" t="s">
        <v>107</v>
      </c>
      <c r="C64" s="9"/>
      <c r="D64" s="155"/>
      <c r="E64" s="160"/>
      <c r="F64" s="155"/>
      <c r="G64" s="93">
        <f t="shared" si="26"/>
        <v>0</v>
      </c>
      <c r="H64" s="84" t="str">
        <f t="shared" si="20"/>
        <v/>
      </c>
      <c r="I64" s="94">
        <f t="shared" si="27"/>
        <v>0</v>
      </c>
      <c r="J64" s="84" t="str">
        <f t="shared" si="21"/>
        <v/>
      </c>
      <c r="K64" s="174"/>
      <c r="L64" s="174"/>
      <c r="M64" s="94">
        <f t="shared" ref="M64:M69" si="32">L64-K64</f>
        <v>0</v>
      </c>
      <c r="N64" s="84" t="str">
        <f t="shared" si="22"/>
        <v/>
      </c>
      <c r="O64" s="94">
        <f t="shared" si="28"/>
        <v>0</v>
      </c>
      <c r="P64" s="94">
        <f t="shared" si="13"/>
        <v>0</v>
      </c>
      <c r="Q64" s="94">
        <f t="shared" si="25"/>
        <v>0</v>
      </c>
      <c r="R64" s="84" t="str">
        <f t="shared" si="23"/>
        <v/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8" ht="46.8" hidden="1" x14ac:dyDescent="0.35">
      <c r="A65" s="92" t="s">
        <v>193</v>
      </c>
      <c r="B65" s="13" t="s">
        <v>194</v>
      </c>
      <c r="C65" s="9"/>
      <c r="D65" s="155"/>
      <c r="E65" s="160"/>
      <c r="F65" s="155"/>
      <c r="G65" s="93">
        <f>F65-E65</f>
        <v>0</v>
      </c>
      <c r="H65" s="84" t="str">
        <f>IFERROR(F65/E65,"")</f>
        <v/>
      </c>
      <c r="I65" s="94">
        <f>F65-D65</f>
        <v>0</v>
      </c>
      <c r="J65" s="84" t="str">
        <f>IFERROR(F65/D65,"")</f>
        <v/>
      </c>
      <c r="K65" s="174"/>
      <c r="L65" s="174"/>
      <c r="M65" s="94">
        <f>L65-K65</f>
        <v>0</v>
      </c>
      <c r="N65" s="84" t="str">
        <f>IFERROR(L65/K65,"")</f>
        <v/>
      </c>
      <c r="O65" s="94">
        <f>D65+K65</f>
        <v>0</v>
      </c>
      <c r="P65" s="94">
        <f>L65+F65</f>
        <v>0</v>
      </c>
      <c r="Q65" s="94">
        <f>P65-O65</f>
        <v>0</v>
      </c>
      <c r="R65" s="84" t="str">
        <f>IFERROR(P65/O65,"")</f>
        <v/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8" s="46" customFormat="1" ht="34.799999999999997" x14ac:dyDescent="0.3">
      <c r="A66" s="62">
        <v>900102</v>
      </c>
      <c r="B66" s="63" t="s">
        <v>170</v>
      </c>
      <c r="C66" s="64"/>
      <c r="D66" s="164">
        <f>D40+D41</f>
        <v>1726591.0719999999</v>
      </c>
      <c r="E66" s="164">
        <f>E40+E41</f>
        <v>1581268.2459999998</v>
      </c>
      <c r="F66" s="164">
        <f>F40+F41</f>
        <v>1589418.7874400001</v>
      </c>
      <c r="G66" s="71">
        <f t="shared" si="26"/>
        <v>8150.5414400002919</v>
      </c>
      <c r="H66" s="75">
        <f>IFERROR(F66/E66,"")</f>
        <v>1.0051544331334155</v>
      </c>
      <c r="I66" s="71">
        <f t="shared" si="27"/>
        <v>-137172.28455999983</v>
      </c>
      <c r="J66" s="75">
        <f>IFERROR(F66/D66,"")</f>
        <v>0.92055311371377235</v>
      </c>
      <c r="K66" s="164">
        <f>K41+K40</f>
        <v>237539.82937999998</v>
      </c>
      <c r="L66" s="164">
        <f>L41+L40</f>
        <v>232381.25521</v>
      </c>
      <c r="M66" s="71">
        <f t="shared" si="32"/>
        <v>-5158.574169999978</v>
      </c>
      <c r="N66" s="75">
        <f>IFERROR(L66/K66,"")</f>
        <v>0.97828332964848752</v>
      </c>
      <c r="O66" s="71">
        <f>O41+O40</f>
        <v>1964130.9013799999</v>
      </c>
      <c r="P66" s="71">
        <f>P41+P40</f>
        <v>1821800.04265</v>
      </c>
      <c r="Q66" s="71">
        <f t="shared" si="25"/>
        <v>-142330.85872999998</v>
      </c>
      <c r="R66" s="75">
        <f>IFERROR(P66/O66,"")</f>
        <v>0.92753494248779544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86" customFormat="1" ht="24" customHeight="1" x14ac:dyDescent="0.35">
      <c r="A67" s="92">
        <v>41050000</v>
      </c>
      <c r="B67" s="13" t="s">
        <v>156</v>
      </c>
      <c r="C67" s="9"/>
      <c r="D67" s="155">
        <v>12640.868</v>
      </c>
      <c r="E67" s="165">
        <v>12640.868</v>
      </c>
      <c r="F67" s="155">
        <v>11990.868</v>
      </c>
      <c r="G67" s="93">
        <f t="shared" si="26"/>
        <v>-650</v>
      </c>
      <c r="H67" s="85">
        <f t="shared" si="20"/>
        <v>0.94857948045972795</v>
      </c>
      <c r="I67" s="94">
        <f t="shared" si="27"/>
        <v>-650</v>
      </c>
      <c r="J67" s="97">
        <f>IFERROR(F67/D67,"")</f>
        <v>0.94857948045972795</v>
      </c>
      <c r="K67" s="174"/>
      <c r="L67" s="174"/>
      <c r="M67" s="94">
        <f t="shared" si="32"/>
        <v>0</v>
      </c>
      <c r="N67" s="97" t="str">
        <f>IFERROR(L67/K67,"")</f>
        <v/>
      </c>
      <c r="O67" s="94">
        <f>D67+K67</f>
        <v>12640.868</v>
      </c>
      <c r="P67" s="94">
        <f>L67+F67</f>
        <v>11990.868</v>
      </c>
      <c r="Q67" s="94">
        <f t="shared" si="25"/>
        <v>-650</v>
      </c>
      <c r="R67" s="97">
        <f>IFERROR(P67/O67,"")</f>
        <v>0.94857948045972795</v>
      </c>
    </row>
    <row r="68" spans="1:38" ht="46.8" hidden="1" x14ac:dyDescent="0.35">
      <c r="A68" s="55" t="s">
        <v>163</v>
      </c>
      <c r="B68" s="13" t="s">
        <v>164</v>
      </c>
      <c r="C68" s="9"/>
      <c r="D68" s="157">
        <v>0</v>
      </c>
      <c r="E68" s="158">
        <v>0</v>
      </c>
      <c r="F68" s="157">
        <v>0</v>
      </c>
      <c r="G68" s="109">
        <f t="shared" si="26"/>
        <v>0</v>
      </c>
      <c r="H68" s="80"/>
      <c r="I68" s="80">
        <f t="shared" si="27"/>
        <v>0</v>
      </c>
      <c r="J68" s="80"/>
      <c r="K68" s="176">
        <v>5000</v>
      </c>
      <c r="L68" s="176">
        <v>5000</v>
      </c>
      <c r="M68" s="80">
        <f t="shared" si="32"/>
        <v>0</v>
      </c>
      <c r="N68" s="80">
        <f>L68/K68*100</f>
        <v>100</v>
      </c>
      <c r="O68" s="80">
        <f>D68+K68</f>
        <v>5000</v>
      </c>
      <c r="P68" s="80">
        <f>L68+F68</f>
        <v>5000</v>
      </c>
      <c r="Q68" s="80">
        <f t="shared" si="25"/>
        <v>0</v>
      </c>
      <c r="R68" s="79">
        <f>P68/O68*100</f>
        <v>100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8" ht="21.75" customHeight="1" x14ac:dyDescent="0.3">
      <c r="A69" s="62">
        <v>900103</v>
      </c>
      <c r="B69" s="63" t="s">
        <v>171</v>
      </c>
      <c r="C69" s="64" t="e">
        <f>C40+C41</f>
        <v>#REF!</v>
      </c>
      <c r="D69" s="164">
        <f>D66+D67</f>
        <v>1739231.94</v>
      </c>
      <c r="E69" s="164">
        <f>E66+E67</f>
        <v>1593909.1139999998</v>
      </c>
      <c r="F69" s="164">
        <f>F66+F67</f>
        <v>1601409.6554400001</v>
      </c>
      <c r="G69" s="71">
        <f t="shared" si="26"/>
        <v>7500.5414400002919</v>
      </c>
      <c r="H69" s="75">
        <f>IFERROR(F69/E69,"")</f>
        <v>1.0047057522754088</v>
      </c>
      <c r="I69" s="71">
        <f t="shared" si="27"/>
        <v>-137822.28455999983</v>
      </c>
      <c r="J69" s="75">
        <f>IFERROR(F69/D69,"")</f>
        <v>0.9207568114463216</v>
      </c>
      <c r="K69" s="164">
        <f>K66+K67</f>
        <v>237539.82937999998</v>
      </c>
      <c r="L69" s="164">
        <f>L66+L67</f>
        <v>232381.25521</v>
      </c>
      <c r="M69" s="71">
        <f t="shared" si="32"/>
        <v>-5158.574169999978</v>
      </c>
      <c r="N69" s="75">
        <f>IFERROR(L69/K69,"")</f>
        <v>0.97828332964848752</v>
      </c>
      <c r="O69" s="71">
        <f>D69+K69</f>
        <v>1976771.76938</v>
      </c>
      <c r="P69" s="71">
        <f>L69+F69</f>
        <v>1833790.9106500002</v>
      </c>
      <c r="Q69" s="71">
        <f t="shared" si="25"/>
        <v>-142980.85872999975</v>
      </c>
      <c r="R69" s="76">
        <f>IFERROR(P69/O69,"")</f>
        <v>0.92766951605402348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8" x14ac:dyDescent="0.3">
      <c r="B70" s="66"/>
      <c r="C70" s="115"/>
      <c r="D70" s="130"/>
      <c r="E70" s="148"/>
      <c r="F70" s="116"/>
      <c r="G70" s="111"/>
      <c r="H70" s="98"/>
      <c r="I70" s="104"/>
      <c r="J70" s="104"/>
      <c r="K70" s="124"/>
    </row>
    <row r="71" spans="1:38" x14ac:dyDescent="0.3">
      <c r="B71" s="22"/>
      <c r="C71" s="113"/>
      <c r="D71" s="130"/>
      <c r="E71" s="131"/>
      <c r="F71" s="130"/>
      <c r="G71" s="112"/>
      <c r="H71" s="113"/>
      <c r="K71" s="124"/>
      <c r="L71" s="124"/>
    </row>
    <row r="72" spans="1:38" x14ac:dyDescent="0.3">
      <c r="C72" s="113"/>
      <c r="E72" s="131"/>
      <c r="F72" s="132"/>
      <c r="G72" s="111"/>
      <c r="H72" s="98"/>
      <c r="I72" s="98"/>
      <c r="J72" s="98"/>
      <c r="L72" s="124"/>
    </row>
    <row r="73" spans="1:38" hidden="1" x14ac:dyDescent="0.3">
      <c r="B73" s="104" t="s">
        <v>99</v>
      </c>
      <c r="C73" s="103"/>
      <c r="D73" s="118"/>
      <c r="E73" s="140"/>
      <c r="F73" s="133"/>
      <c r="K73" s="116"/>
      <c r="L73" s="116"/>
    </row>
    <row r="74" spans="1:38" hidden="1" x14ac:dyDescent="0.3">
      <c r="B74" s="104" t="s">
        <v>97</v>
      </c>
      <c r="C74" s="104"/>
      <c r="D74" s="134"/>
      <c r="E74" s="140"/>
      <c r="F74" s="120"/>
      <c r="G74" s="111"/>
      <c r="H74" s="98"/>
    </row>
    <row r="75" spans="1:38" hidden="1" x14ac:dyDescent="0.3">
      <c r="B75" s="104" t="s">
        <v>98</v>
      </c>
      <c r="C75" s="104"/>
      <c r="D75" s="134"/>
      <c r="E75" s="140"/>
      <c r="F75" s="120"/>
    </row>
    <row r="76" spans="1:38" hidden="1" x14ac:dyDescent="0.3">
      <c r="B76" s="104"/>
      <c r="C76" s="104"/>
      <c r="D76" s="121"/>
      <c r="E76" s="140"/>
    </row>
    <row r="77" spans="1:38" hidden="1" x14ac:dyDescent="0.3">
      <c r="B77" s="104"/>
      <c r="C77" s="104"/>
      <c r="D77" s="121"/>
      <c r="E77" s="140"/>
    </row>
    <row r="78" spans="1:38" hidden="1" x14ac:dyDescent="0.3">
      <c r="B78" s="104" t="s">
        <v>100</v>
      </c>
      <c r="C78" s="104"/>
      <c r="D78" s="118"/>
      <c r="E78" s="140"/>
      <c r="F78" s="133"/>
    </row>
    <row r="79" spans="1:38" hidden="1" x14ac:dyDescent="0.3">
      <c r="B79" s="104" t="s">
        <v>97</v>
      </c>
      <c r="D79" s="134"/>
      <c r="E79" s="140"/>
      <c r="F79" s="120"/>
    </row>
    <row r="80" spans="1:38" hidden="1" x14ac:dyDescent="0.3">
      <c r="B80" s="104" t="s">
        <v>98</v>
      </c>
      <c r="D80" s="120"/>
      <c r="F80" s="120"/>
    </row>
    <row r="82" spans="6:7" x14ac:dyDescent="0.3">
      <c r="F82" s="120"/>
    </row>
    <row r="83" spans="6:7" x14ac:dyDescent="0.3">
      <c r="G83" s="114"/>
    </row>
    <row r="122" spans="1:13" x14ac:dyDescent="0.3">
      <c r="A122" s="259"/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</row>
  </sheetData>
  <mergeCells count="12">
    <mergeCell ref="A1:R1"/>
    <mergeCell ref="A2:R2"/>
    <mergeCell ref="A3:R3"/>
    <mergeCell ref="A4:R4"/>
    <mergeCell ref="A122:M122"/>
    <mergeCell ref="A5:R5"/>
    <mergeCell ref="Q6:R6"/>
    <mergeCell ref="A7:A8"/>
    <mergeCell ref="B7:B8"/>
    <mergeCell ref="C7:J7"/>
    <mergeCell ref="K7:N7"/>
    <mergeCell ref="O7:R7"/>
  </mergeCells>
  <phoneticPr fontId="16" type="noConversion"/>
  <conditionalFormatting sqref="F72">
    <cfRule type="expression" dxfId="0" priority="1" stopIfTrue="1">
      <formula>A72=1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view="pageBreakPreview" zoomScale="75" zoomScaleNormal="75" zoomScaleSheetLayoutView="75" workbookViewId="0">
      <pane xSplit="2" ySplit="5" topLeftCell="D41" activePane="bottomRight" state="frozen"/>
      <selection pane="topRight" activeCell="D1" sqref="D1"/>
      <selection pane="bottomLeft" activeCell="A6" sqref="A6"/>
      <selection pane="bottomRight" activeCell="O61" sqref="O61"/>
    </sheetView>
  </sheetViews>
  <sheetFormatPr defaultColWidth="7.5546875" defaultRowHeight="15.6" x14ac:dyDescent="0.3"/>
  <cols>
    <col min="1" max="1" width="16" style="44" customWidth="1"/>
    <col min="2" max="2" width="65.33203125" style="45" customWidth="1"/>
    <col min="3" max="3" width="21" style="146" customWidth="1"/>
    <col min="4" max="4" width="20.44140625" style="255" customWidth="1"/>
    <col min="5" max="5" width="20.33203125" style="123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23" customWidth="1"/>
    <col min="11" max="11" width="20.6640625" style="123" customWidth="1"/>
    <col min="12" max="12" width="18.6640625" style="7" customWidth="1"/>
    <col min="13" max="13" width="14.33203125" style="7" customWidth="1"/>
    <col min="14" max="14" width="19.109375" style="2" customWidth="1"/>
    <col min="15" max="15" width="19.44140625" style="2" customWidth="1"/>
    <col min="16" max="16" width="21.5546875" style="2" customWidth="1"/>
    <col min="17" max="17" width="11.8867187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72" t="s">
        <v>95</v>
      </c>
      <c r="B1" s="272"/>
      <c r="C1" s="272"/>
      <c r="D1" s="272"/>
      <c r="E1" s="177"/>
      <c r="F1" s="178"/>
      <c r="G1" s="178"/>
      <c r="H1" s="179"/>
      <c r="I1" s="179"/>
      <c r="J1" s="180"/>
      <c r="K1" s="180"/>
      <c r="L1" s="180"/>
      <c r="M1" s="180"/>
      <c r="N1" s="181"/>
      <c r="O1" s="181"/>
      <c r="P1" s="181"/>
      <c r="Q1" s="181"/>
    </row>
    <row r="2" spans="1:19" ht="21.75" customHeight="1" x14ac:dyDescent="0.35">
      <c r="A2" s="182"/>
      <c r="B2" s="182" t="s">
        <v>21</v>
      </c>
      <c r="C2" s="183"/>
      <c r="D2" s="250"/>
      <c r="E2" s="184"/>
      <c r="F2" s="185"/>
      <c r="G2" s="186"/>
      <c r="H2" s="187"/>
      <c r="I2" s="185"/>
      <c r="J2" s="188"/>
      <c r="K2" s="189"/>
      <c r="L2" s="190"/>
      <c r="M2" s="180"/>
      <c r="N2" s="181"/>
      <c r="O2" s="181"/>
      <c r="P2" s="273" t="s">
        <v>178</v>
      </c>
      <c r="Q2" s="273"/>
    </row>
    <row r="3" spans="1:19" s="7" customFormat="1" ht="20.399999999999999" x14ac:dyDescent="0.3">
      <c r="A3" s="274" t="s">
        <v>90</v>
      </c>
      <c r="B3" s="275" t="s">
        <v>22</v>
      </c>
      <c r="C3" s="276" t="s">
        <v>46</v>
      </c>
      <c r="D3" s="276"/>
      <c r="E3" s="276"/>
      <c r="F3" s="276"/>
      <c r="G3" s="276"/>
      <c r="H3" s="276"/>
      <c r="I3" s="276"/>
      <c r="J3" s="277" t="s">
        <v>47</v>
      </c>
      <c r="K3" s="277"/>
      <c r="L3" s="277"/>
      <c r="M3" s="277"/>
      <c r="N3" s="276" t="s">
        <v>177</v>
      </c>
      <c r="O3" s="276"/>
      <c r="P3" s="276"/>
      <c r="Q3" s="276"/>
    </row>
    <row r="4" spans="1:19" s="7" customFormat="1" ht="92.25" customHeight="1" x14ac:dyDescent="0.3">
      <c r="A4" s="274"/>
      <c r="B4" s="275"/>
      <c r="C4" s="191" t="s">
        <v>200</v>
      </c>
      <c r="D4" s="251" t="s">
        <v>216</v>
      </c>
      <c r="E4" s="166" t="s">
        <v>51</v>
      </c>
      <c r="F4" s="192" t="s">
        <v>217</v>
      </c>
      <c r="G4" s="193" t="s">
        <v>218</v>
      </c>
      <c r="H4" s="194" t="s">
        <v>68</v>
      </c>
      <c r="I4" s="194" t="s">
        <v>198</v>
      </c>
      <c r="J4" s="195" t="s">
        <v>201</v>
      </c>
      <c r="K4" s="196" t="s">
        <v>51</v>
      </c>
      <c r="L4" s="197" t="s">
        <v>166</v>
      </c>
      <c r="M4" s="166" t="s">
        <v>7</v>
      </c>
      <c r="N4" s="198" t="s">
        <v>202</v>
      </c>
      <c r="O4" s="199" t="s">
        <v>51</v>
      </c>
      <c r="P4" s="199" t="s">
        <v>167</v>
      </c>
      <c r="Q4" s="199" t="s">
        <v>7</v>
      </c>
    </row>
    <row r="5" spans="1:19" s="35" customFormat="1" ht="13.8" x14ac:dyDescent="0.25">
      <c r="A5" s="200">
        <v>1</v>
      </c>
      <c r="B5" s="200">
        <v>2</v>
      </c>
      <c r="C5" s="152" t="s">
        <v>42</v>
      </c>
      <c r="D5" s="202" t="s">
        <v>8</v>
      </c>
      <c r="E5" s="152" t="s">
        <v>9</v>
      </c>
      <c r="F5" s="201" t="s">
        <v>59</v>
      </c>
      <c r="G5" s="201" t="s">
        <v>60</v>
      </c>
      <c r="H5" s="201" t="s">
        <v>43</v>
      </c>
      <c r="I5" s="201" t="s">
        <v>10</v>
      </c>
      <c r="J5" s="202" t="s">
        <v>11</v>
      </c>
      <c r="K5" s="202" t="s">
        <v>12</v>
      </c>
      <c r="L5" s="152" t="s">
        <v>13</v>
      </c>
      <c r="M5" s="152" t="s">
        <v>44</v>
      </c>
      <c r="N5" s="201" t="s">
        <v>14</v>
      </c>
      <c r="O5" s="201" t="s">
        <v>41</v>
      </c>
      <c r="P5" s="201" t="s">
        <v>56</v>
      </c>
      <c r="Q5" s="201" t="s">
        <v>57</v>
      </c>
      <c r="R5" s="34"/>
      <c r="S5" s="34"/>
    </row>
    <row r="6" spans="1:19" ht="22.5" customHeight="1" x14ac:dyDescent="0.3">
      <c r="A6" s="203" t="s">
        <v>70</v>
      </c>
      <c r="B6" s="204" t="s">
        <v>31</v>
      </c>
      <c r="C6" s="168">
        <f>C7+C8</f>
        <v>45066.558000000005</v>
      </c>
      <c r="D6" s="168">
        <f>D7+D8</f>
        <v>42171.690999999999</v>
      </c>
      <c r="E6" s="168">
        <f>E7+E8</f>
        <v>37499.157699999996</v>
      </c>
      <c r="F6" s="168">
        <f>E6-D6</f>
        <v>-4672.5333000000028</v>
      </c>
      <c r="G6" s="205">
        <f>IFERROR(E6/D6,"")</f>
        <v>0.88920213562221151</v>
      </c>
      <c r="H6" s="168">
        <f>E6-C6</f>
        <v>-7567.4003000000084</v>
      </c>
      <c r="I6" s="205">
        <f>IFERROR(E6/C6,"")</f>
        <v>0.83208390798338738</v>
      </c>
      <c r="J6" s="154">
        <f>J7+J8</f>
        <v>5852.1</v>
      </c>
      <c r="K6" s="154">
        <f>K7+K8</f>
        <v>212.45</v>
      </c>
      <c r="L6" s="154">
        <f>K6-J6</f>
        <v>-5639.6500000000005</v>
      </c>
      <c r="M6" s="206">
        <f>IFERROR(K6/J6,"")</f>
        <v>3.630320739563575E-2</v>
      </c>
      <c r="N6" s="168">
        <f>C6+J6</f>
        <v>50918.658000000003</v>
      </c>
      <c r="O6" s="168">
        <f>E6+K6</f>
        <v>37711.607699999993</v>
      </c>
      <c r="P6" s="168">
        <f>O6-N6</f>
        <v>-13207.05030000001</v>
      </c>
      <c r="Q6" s="205">
        <f>IFERROR(O6/N6,"")</f>
        <v>0.74062454081173923</v>
      </c>
    </row>
    <row r="7" spans="1:19" s="86" customFormat="1" ht="62.4" x14ac:dyDescent="0.35">
      <c r="A7" s="207" t="s">
        <v>108</v>
      </c>
      <c r="B7" s="208" t="s">
        <v>109</v>
      </c>
      <c r="C7" s="169">
        <v>27161.7</v>
      </c>
      <c r="D7" s="252">
        <v>24736.832999999999</v>
      </c>
      <c r="E7" s="247">
        <f>22821465.56/1000</f>
        <v>22821.465559999997</v>
      </c>
      <c r="F7" s="169">
        <f t="shared" ref="F7:F51" si="0">E7-D7</f>
        <v>-1915.3674400000018</v>
      </c>
      <c r="G7" s="209">
        <f t="shared" ref="G7:G39" si="1">IFERROR(E7/D7,"")</f>
        <v>0.92257022392478449</v>
      </c>
      <c r="H7" s="169">
        <f t="shared" ref="H7:H51" si="2">E7-C7</f>
        <v>-4340.2344400000038</v>
      </c>
      <c r="I7" s="209">
        <f t="shared" ref="I7:I39" si="3">IFERROR(E7/C7,"")</f>
        <v>0.84020755549174009</v>
      </c>
      <c r="J7" s="210"/>
      <c r="K7" s="210"/>
      <c r="L7" s="210">
        <f t="shared" ref="L7:L39" si="4">K7-J7</f>
        <v>0</v>
      </c>
      <c r="M7" s="211" t="str">
        <f t="shared" ref="M7:M39" si="5">IFERROR(K7/J7,"")</f>
        <v/>
      </c>
      <c r="N7" s="169">
        <f t="shared" ref="N7:N43" si="6">C7+J7</f>
        <v>27161.7</v>
      </c>
      <c r="O7" s="169">
        <f t="shared" ref="O7:O43" si="7">E7+K7</f>
        <v>22821.465559999997</v>
      </c>
      <c r="P7" s="169">
        <f t="shared" ref="P7:P43" si="8">O7-N7</f>
        <v>-4340.2344400000038</v>
      </c>
      <c r="Q7" s="209">
        <f t="shared" ref="Q7:Q39" si="9">IFERROR(O7/N7,"")</f>
        <v>0.84020755549174009</v>
      </c>
      <c r="R7" s="38"/>
      <c r="S7" s="38"/>
    </row>
    <row r="8" spans="1:19" s="88" customFormat="1" ht="18" x14ac:dyDescent="0.35">
      <c r="A8" s="207" t="s">
        <v>71</v>
      </c>
      <c r="B8" s="208" t="s">
        <v>110</v>
      </c>
      <c r="C8" s="246">
        <f>17904858/1000</f>
        <v>17904.858</v>
      </c>
      <c r="D8" s="252">
        <v>17434.858</v>
      </c>
      <c r="E8" s="247">
        <f>14677692.14/1000</f>
        <v>14677.692140000001</v>
      </c>
      <c r="F8" s="169">
        <f t="shared" si="0"/>
        <v>-2757.1658599999992</v>
      </c>
      <c r="G8" s="209">
        <f t="shared" si="1"/>
        <v>0.84185900108850908</v>
      </c>
      <c r="H8" s="169">
        <f t="shared" si="2"/>
        <v>-3227.1658599999992</v>
      </c>
      <c r="I8" s="209">
        <f t="shared" si="3"/>
        <v>0.8197603209140224</v>
      </c>
      <c r="J8" s="212">
        <f>5852100/1000</f>
        <v>5852.1</v>
      </c>
      <c r="K8" s="210">
        <v>212.45</v>
      </c>
      <c r="L8" s="210">
        <f t="shared" si="4"/>
        <v>-5639.6500000000005</v>
      </c>
      <c r="M8" s="211">
        <f t="shared" si="5"/>
        <v>3.630320739563575E-2</v>
      </c>
      <c r="N8" s="169">
        <f t="shared" si="6"/>
        <v>23756.957999999999</v>
      </c>
      <c r="O8" s="169">
        <f t="shared" si="7"/>
        <v>14890.142140000002</v>
      </c>
      <c r="P8" s="169">
        <f t="shared" si="8"/>
        <v>-8866.815859999997</v>
      </c>
      <c r="Q8" s="209">
        <f t="shared" si="9"/>
        <v>0.62676972952513543</v>
      </c>
      <c r="R8" s="87"/>
      <c r="S8" s="87"/>
    </row>
    <row r="9" spans="1:19" ht="18" customHeight="1" x14ac:dyDescent="0.3">
      <c r="A9" s="203" t="s">
        <v>72</v>
      </c>
      <c r="B9" s="204" t="s">
        <v>32</v>
      </c>
      <c r="C9" s="168">
        <f>634331747.46/1000</f>
        <v>634331.74745999998</v>
      </c>
      <c r="D9" s="249">
        <v>591739.86745999998</v>
      </c>
      <c r="E9" s="248">
        <f>527850175.45/1000</f>
        <v>527850.17544999998</v>
      </c>
      <c r="F9" s="168">
        <f t="shared" si="0"/>
        <v>-63889.692009999999</v>
      </c>
      <c r="G9" s="205">
        <f t="shared" si="1"/>
        <v>0.89203077986913093</v>
      </c>
      <c r="H9" s="168">
        <f t="shared" si="2"/>
        <v>-106481.57201</v>
      </c>
      <c r="I9" s="205">
        <f t="shared" si="3"/>
        <v>0.83213583044459782</v>
      </c>
      <c r="J9" s="154">
        <v>240236.10409000001</v>
      </c>
      <c r="K9" s="154">
        <v>173895.18023</v>
      </c>
      <c r="L9" s="154">
        <f t="shared" si="4"/>
        <v>-66340.92386000001</v>
      </c>
      <c r="M9" s="206">
        <f t="shared" si="5"/>
        <v>0.72385115005383782</v>
      </c>
      <c r="N9" s="168">
        <f>C9+J9</f>
        <v>874567.85155000002</v>
      </c>
      <c r="O9" s="168">
        <f>E9+K9</f>
        <v>701745.35568000004</v>
      </c>
      <c r="P9" s="168">
        <f t="shared" si="8"/>
        <v>-172822.49586999998</v>
      </c>
      <c r="Q9" s="205">
        <f t="shared" si="9"/>
        <v>0.80239098022674171</v>
      </c>
    </row>
    <row r="10" spans="1:19" ht="20.25" customHeight="1" x14ac:dyDescent="0.3">
      <c r="A10" s="203" t="s">
        <v>61</v>
      </c>
      <c r="B10" s="213" t="s">
        <v>160</v>
      </c>
      <c r="C10" s="168">
        <f>191885933.35/1000</f>
        <v>191885.93335000001</v>
      </c>
      <c r="D10" s="249">
        <v>173416.53334999998</v>
      </c>
      <c r="E10" s="248">
        <f>145500285.21/1000</f>
        <v>145500.28521</v>
      </c>
      <c r="F10" s="168">
        <f t="shared" si="0"/>
        <v>-27916.248139999982</v>
      </c>
      <c r="G10" s="205">
        <f t="shared" si="1"/>
        <v>0.83902199172867975</v>
      </c>
      <c r="H10" s="168">
        <f t="shared" si="2"/>
        <v>-46385.648140000005</v>
      </c>
      <c r="I10" s="205">
        <f t="shared" si="3"/>
        <v>0.75826446821720606</v>
      </c>
      <c r="J10" s="214">
        <f>3973947.77/1000</f>
        <v>3973.9477700000002</v>
      </c>
      <c r="K10" s="214">
        <f>1937722.37/1000</f>
        <v>1937.7223700000002</v>
      </c>
      <c r="L10" s="154">
        <f t="shared" si="4"/>
        <v>-2036.2254</v>
      </c>
      <c r="M10" s="206">
        <f t="shared" si="5"/>
        <v>0.48760640102725861</v>
      </c>
      <c r="N10" s="168">
        <f>C10+J10</f>
        <v>195859.88112000001</v>
      </c>
      <c r="O10" s="168">
        <f>E10+K10</f>
        <v>147438.00758</v>
      </c>
      <c r="P10" s="168">
        <f t="shared" si="8"/>
        <v>-48421.873540000001</v>
      </c>
      <c r="Q10" s="205">
        <f t="shared" si="9"/>
        <v>0.75277288404799581</v>
      </c>
    </row>
    <row r="11" spans="1:19" ht="17.399999999999999" x14ac:dyDescent="0.3">
      <c r="A11" s="203" t="s">
        <v>62</v>
      </c>
      <c r="B11" s="215" t="s">
        <v>33</v>
      </c>
      <c r="C11" s="168">
        <f>SUM(C13:C24)+C12</f>
        <v>205205.283</v>
      </c>
      <c r="D11" s="168">
        <f>SUM(D13:D24)+D12</f>
        <v>185432.43300000002</v>
      </c>
      <c r="E11" s="168">
        <f>SUM(E13:E24)+E12</f>
        <v>161383.61526000002</v>
      </c>
      <c r="F11" s="168">
        <f t="shared" si="0"/>
        <v>-24048.817739999999</v>
      </c>
      <c r="G11" s="205">
        <f t="shared" si="1"/>
        <v>0.87030953889279983</v>
      </c>
      <c r="H11" s="168">
        <f t="shared" si="2"/>
        <v>-43821.667739999975</v>
      </c>
      <c r="I11" s="205">
        <f t="shared" si="3"/>
        <v>0.78644961231334387</v>
      </c>
      <c r="J11" s="154">
        <f>SUM(J13:J24)</f>
        <v>88590.695330000017</v>
      </c>
      <c r="K11" s="154">
        <f>SUM(K13:K24)</f>
        <v>56448.28903</v>
      </c>
      <c r="L11" s="154">
        <f t="shared" si="4"/>
        <v>-32142.406300000017</v>
      </c>
      <c r="M11" s="206">
        <f t="shared" si="5"/>
        <v>0.63718078766320019</v>
      </c>
      <c r="N11" s="168">
        <f t="shared" si="6"/>
        <v>293795.97833000001</v>
      </c>
      <c r="O11" s="168">
        <f t="shared" si="7"/>
        <v>217831.90429000003</v>
      </c>
      <c r="P11" s="168">
        <f t="shared" si="8"/>
        <v>-75964.074039999978</v>
      </c>
      <c r="Q11" s="205">
        <f t="shared" si="9"/>
        <v>0.74143936730585547</v>
      </c>
    </row>
    <row r="12" spans="1:19" ht="30" hidden="1" customHeight="1" x14ac:dyDescent="0.35">
      <c r="A12" s="216" t="s">
        <v>157</v>
      </c>
      <c r="B12" s="217" t="s">
        <v>158</v>
      </c>
      <c r="C12" s="171">
        <v>0</v>
      </c>
      <c r="D12" s="171">
        <v>0</v>
      </c>
      <c r="E12" s="171">
        <v>0</v>
      </c>
      <c r="F12" s="171">
        <f>E12-D12</f>
        <v>0</v>
      </c>
      <c r="G12" s="218" t="str">
        <f t="shared" si="1"/>
        <v/>
      </c>
      <c r="H12" s="171">
        <f>E12-C12</f>
        <v>0</v>
      </c>
      <c r="I12" s="218" t="str">
        <f t="shared" si="3"/>
        <v/>
      </c>
      <c r="J12" s="219">
        <v>0</v>
      </c>
      <c r="K12" s="219">
        <v>0</v>
      </c>
      <c r="L12" s="219">
        <f t="shared" si="4"/>
        <v>0</v>
      </c>
      <c r="M12" s="220" t="str">
        <f t="shared" si="5"/>
        <v/>
      </c>
      <c r="N12" s="171">
        <f>C12+J12</f>
        <v>0</v>
      </c>
      <c r="O12" s="171">
        <f>E12+K12</f>
        <v>0</v>
      </c>
      <c r="P12" s="171">
        <f>O12-N12</f>
        <v>0</v>
      </c>
      <c r="Q12" s="218" t="str">
        <f t="shared" si="9"/>
        <v/>
      </c>
    </row>
    <row r="13" spans="1:19" s="88" customFormat="1" ht="36" customHeight="1" x14ac:dyDescent="0.35">
      <c r="A13" s="221" t="s">
        <v>75</v>
      </c>
      <c r="B13" s="222" t="s">
        <v>113</v>
      </c>
      <c r="C13" s="169">
        <v>1000</v>
      </c>
      <c r="D13" s="252">
        <v>950</v>
      </c>
      <c r="E13" s="247">
        <f>749514.57/1000</f>
        <v>749.51456999999994</v>
      </c>
      <c r="F13" s="169">
        <f t="shared" si="0"/>
        <v>-200.48543000000006</v>
      </c>
      <c r="G13" s="209">
        <f t="shared" si="1"/>
        <v>0.78896270526315782</v>
      </c>
      <c r="H13" s="169">
        <f t="shared" ref="H13:H24" si="10">E13-C13</f>
        <v>-250.48543000000006</v>
      </c>
      <c r="I13" s="209">
        <f t="shared" si="3"/>
        <v>0.74951456999999988</v>
      </c>
      <c r="J13" s="210"/>
      <c r="K13" s="210"/>
      <c r="L13" s="210">
        <f t="shared" si="4"/>
        <v>0</v>
      </c>
      <c r="M13" s="211" t="str">
        <f t="shared" si="5"/>
        <v/>
      </c>
      <c r="N13" s="169">
        <f t="shared" si="6"/>
        <v>1000</v>
      </c>
      <c r="O13" s="169">
        <f t="shared" si="7"/>
        <v>749.51456999999994</v>
      </c>
      <c r="P13" s="169">
        <f t="shared" si="8"/>
        <v>-250.48543000000006</v>
      </c>
      <c r="Q13" s="209">
        <f t="shared" si="9"/>
        <v>0.74951456999999988</v>
      </c>
      <c r="R13" s="87"/>
      <c r="S13" s="87"/>
    </row>
    <row r="14" spans="1:19" s="88" customFormat="1" ht="33" customHeight="1" x14ac:dyDescent="0.35">
      <c r="A14" s="221" t="s">
        <v>74</v>
      </c>
      <c r="B14" s="222" t="s">
        <v>114</v>
      </c>
      <c r="C14" s="169">
        <f>245000/1000</f>
        <v>245</v>
      </c>
      <c r="D14" s="252">
        <v>224.3</v>
      </c>
      <c r="E14" s="169">
        <v>98.544200000000004</v>
      </c>
      <c r="F14" s="169">
        <f t="shared" si="0"/>
        <v>-125.75580000000001</v>
      </c>
      <c r="G14" s="209">
        <f t="shared" si="1"/>
        <v>0.43934106107891219</v>
      </c>
      <c r="H14" s="169">
        <f t="shared" si="10"/>
        <v>-146.45580000000001</v>
      </c>
      <c r="I14" s="209">
        <f t="shared" si="3"/>
        <v>0.40222122448979591</v>
      </c>
      <c r="J14" s="210"/>
      <c r="K14" s="210"/>
      <c r="L14" s="210">
        <f t="shared" si="4"/>
        <v>0</v>
      </c>
      <c r="M14" s="211" t="str">
        <f t="shared" si="5"/>
        <v/>
      </c>
      <c r="N14" s="169">
        <f t="shared" si="6"/>
        <v>245</v>
      </c>
      <c r="O14" s="169">
        <f t="shared" si="7"/>
        <v>98.544200000000004</v>
      </c>
      <c r="P14" s="169">
        <f t="shared" si="8"/>
        <v>-146.45580000000001</v>
      </c>
      <c r="Q14" s="209">
        <f t="shared" si="9"/>
        <v>0.40222122448979591</v>
      </c>
      <c r="R14" s="87"/>
      <c r="S14" s="87"/>
    </row>
    <row r="15" spans="1:19" s="88" customFormat="1" ht="53.25" customHeight="1" x14ac:dyDescent="0.35">
      <c r="A15" s="221" t="s">
        <v>63</v>
      </c>
      <c r="B15" s="222" t="s">
        <v>115</v>
      </c>
      <c r="C15" s="169">
        <f>144183600/1000</f>
        <v>144183.6</v>
      </c>
      <c r="D15" s="252">
        <v>133615.20000000001</v>
      </c>
      <c r="E15" s="169">
        <f>120098585.51/1000</f>
        <v>120098.58551</v>
      </c>
      <c r="F15" s="169">
        <f t="shared" si="0"/>
        <v>-13516.614490000007</v>
      </c>
      <c r="G15" s="209">
        <f t="shared" si="1"/>
        <v>0.89883924516073022</v>
      </c>
      <c r="H15" s="169">
        <f t="shared" si="10"/>
        <v>-24085.014490000001</v>
      </c>
      <c r="I15" s="209">
        <f t="shared" si="3"/>
        <v>0.83295593611201268</v>
      </c>
      <c r="J15" s="210">
        <v>76261.979500000001</v>
      </c>
      <c r="K15" s="210">
        <v>48113.992630000001</v>
      </c>
      <c r="L15" s="210">
        <f t="shared" si="4"/>
        <v>-28147.986870000001</v>
      </c>
      <c r="M15" s="211">
        <f t="shared" si="5"/>
        <v>0.63090406183332814</v>
      </c>
      <c r="N15" s="169">
        <f t="shared" si="6"/>
        <v>220445.57949999999</v>
      </c>
      <c r="O15" s="169">
        <f t="shared" si="7"/>
        <v>168212.57814</v>
      </c>
      <c r="P15" s="169">
        <f t="shared" si="8"/>
        <v>-52233.001359999995</v>
      </c>
      <c r="Q15" s="209">
        <f t="shared" si="9"/>
        <v>0.76305716141611268</v>
      </c>
      <c r="R15" s="87"/>
      <c r="S15" s="87"/>
    </row>
    <row r="16" spans="1:19" s="88" customFormat="1" ht="23.25" customHeight="1" x14ac:dyDescent="0.35">
      <c r="A16" s="221" t="s">
        <v>64</v>
      </c>
      <c r="B16" s="222" t="s">
        <v>116</v>
      </c>
      <c r="C16" s="169">
        <v>7777.9320000000007</v>
      </c>
      <c r="D16" s="252">
        <v>7167.4320000000007</v>
      </c>
      <c r="E16" s="169">
        <f>6771091.24/1000</f>
        <v>6771.0912400000007</v>
      </c>
      <c r="F16" s="169">
        <f t="shared" si="0"/>
        <v>-396.34076000000005</v>
      </c>
      <c r="G16" s="209">
        <f t="shared" si="1"/>
        <v>0.94470254339350546</v>
      </c>
      <c r="H16" s="169">
        <f t="shared" si="10"/>
        <v>-1006.84076</v>
      </c>
      <c r="I16" s="209">
        <f t="shared" si="3"/>
        <v>0.87055161191946651</v>
      </c>
      <c r="J16" s="210">
        <v>668.65713000000005</v>
      </c>
      <c r="K16" s="210">
        <v>668.65713000000005</v>
      </c>
      <c r="L16" s="210">
        <f t="shared" si="4"/>
        <v>0</v>
      </c>
      <c r="M16" s="211">
        <f t="shared" si="5"/>
        <v>1</v>
      </c>
      <c r="N16" s="169">
        <f t="shared" si="6"/>
        <v>8446.5891300000003</v>
      </c>
      <c r="O16" s="169">
        <f t="shared" si="7"/>
        <v>7439.7483700000012</v>
      </c>
      <c r="P16" s="169">
        <f t="shared" si="8"/>
        <v>-1006.8407599999991</v>
      </c>
      <c r="Q16" s="209">
        <f t="shared" si="9"/>
        <v>0.88079913151878397</v>
      </c>
      <c r="R16" s="87"/>
      <c r="S16" s="87"/>
    </row>
    <row r="17" spans="1:19" s="88" customFormat="1" ht="40.5" customHeight="1" x14ac:dyDescent="0.35">
      <c r="A17" s="221" t="s">
        <v>111</v>
      </c>
      <c r="B17" s="222" t="s">
        <v>117</v>
      </c>
      <c r="C17" s="169">
        <v>3248</v>
      </c>
      <c r="D17" s="169">
        <v>2910.4</v>
      </c>
      <c r="E17" s="169">
        <f>2821434.78/1000</f>
        <v>2821.4347799999996</v>
      </c>
      <c r="F17" s="169">
        <f t="shared" si="0"/>
        <v>-88.9652200000005</v>
      </c>
      <c r="G17" s="209">
        <f t="shared" si="1"/>
        <v>0.96943196124244069</v>
      </c>
      <c r="H17" s="169">
        <f t="shared" si="10"/>
        <v>-426.56522000000041</v>
      </c>
      <c r="I17" s="209">
        <f t="shared" si="3"/>
        <v>0.86866834359605893</v>
      </c>
      <c r="J17" s="223">
        <f>148554.46/1000</f>
        <v>148.55446000000001</v>
      </c>
      <c r="K17" s="223">
        <f>148554.46/1000</f>
        <v>148.55446000000001</v>
      </c>
      <c r="L17" s="210">
        <f t="shared" si="4"/>
        <v>0</v>
      </c>
      <c r="M17" s="211">
        <f t="shared" si="5"/>
        <v>1</v>
      </c>
      <c r="N17" s="169">
        <f t="shared" si="6"/>
        <v>3396.5544599999998</v>
      </c>
      <c r="O17" s="169">
        <f t="shared" si="7"/>
        <v>2969.9892399999994</v>
      </c>
      <c r="P17" s="169">
        <f t="shared" si="8"/>
        <v>-426.56522000000041</v>
      </c>
      <c r="Q17" s="209">
        <f t="shared" si="9"/>
        <v>0.87441237141241057</v>
      </c>
      <c r="R17" s="87"/>
      <c r="S17" s="87"/>
    </row>
    <row r="18" spans="1:19" s="88" customFormat="1" ht="34.5" customHeight="1" x14ac:dyDescent="0.35">
      <c r="A18" s="221" t="s">
        <v>65</v>
      </c>
      <c r="B18" s="222" t="s">
        <v>77</v>
      </c>
      <c r="C18" s="169">
        <f>360000/1000</f>
        <v>360</v>
      </c>
      <c r="D18" s="169">
        <v>357</v>
      </c>
      <c r="E18" s="247">
        <f>268666.65/1000</f>
        <v>268.66665</v>
      </c>
      <c r="F18" s="169">
        <f t="shared" si="0"/>
        <v>-88.333349999999996</v>
      </c>
      <c r="G18" s="209">
        <f t="shared" si="1"/>
        <v>0.75256764705882351</v>
      </c>
      <c r="H18" s="169">
        <f t="shared" si="10"/>
        <v>-91.333349999999996</v>
      </c>
      <c r="I18" s="209">
        <f t="shared" si="3"/>
        <v>0.74629624999999999</v>
      </c>
      <c r="J18" s="210">
        <v>0</v>
      </c>
      <c r="K18" s="210">
        <v>0</v>
      </c>
      <c r="L18" s="210">
        <f t="shared" si="4"/>
        <v>0</v>
      </c>
      <c r="M18" s="211" t="str">
        <f t="shared" si="5"/>
        <v/>
      </c>
      <c r="N18" s="169">
        <f t="shared" si="6"/>
        <v>360</v>
      </c>
      <c r="O18" s="169">
        <f t="shared" si="7"/>
        <v>268.66665</v>
      </c>
      <c r="P18" s="169">
        <f t="shared" si="8"/>
        <v>-91.333349999999996</v>
      </c>
      <c r="Q18" s="209">
        <f t="shared" si="9"/>
        <v>0.74629624999999999</v>
      </c>
      <c r="R18" s="87"/>
      <c r="S18" s="87"/>
    </row>
    <row r="19" spans="1:19" s="88" customFormat="1" ht="64.5" customHeight="1" x14ac:dyDescent="0.35">
      <c r="A19" s="221" t="s">
        <v>66</v>
      </c>
      <c r="B19" s="222" t="s">
        <v>118</v>
      </c>
      <c r="C19" s="169"/>
      <c r="D19" s="169"/>
      <c r="E19" s="169"/>
      <c r="F19" s="169">
        <f t="shared" si="0"/>
        <v>0</v>
      </c>
      <c r="G19" s="209" t="str">
        <f t="shared" si="1"/>
        <v/>
      </c>
      <c r="H19" s="169">
        <f t="shared" si="10"/>
        <v>0</v>
      </c>
      <c r="I19" s="209" t="str">
        <f t="shared" si="3"/>
        <v/>
      </c>
      <c r="J19" s="210">
        <v>52.210050000000003</v>
      </c>
      <c r="K19" s="210"/>
      <c r="L19" s="210">
        <f t="shared" si="4"/>
        <v>-52.210050000000003</v>
      </c>
      <c r="M19" s="211">
        <f t="shared" si="5"/>
        <v>0</v>
      </c>
      <c r="N19" s="169">
        <f t="shared" si="6"/>
        <v>52.210050000000003</v>
      </c>
      <c r="O19" s="169">
        <f t="shared" si="7"/>
        <v>0</v>
      </c>
      <c r="P19" s="169">
        <f t="shared" si="8"/>
        <v>-52.210050000000003</v>
      </c>
      <c r="Q19" s="209">
        <f t="shared" si="9"/>
        <v>0</v>
      </c>
      <c r="R19" s="87"/>
      <c r="S19" s="87"/>
    </row>
    <row r="20" spans="1:19" s="88" customFormat="1" ht="36" customHeight="1" x14ac:dyDescent="0.35">
      <c r="A20" s="221" t="s">
        <v>112</v>
      </c>
      <c r="B20" s="222" t="s">
        <v>119</v>
      </c>
      <c r="C20" s="169">
        <f>555200/1000</f>
        <v>555.20000000000005</v>
      </c>
      <c r="D20" s="169">
        <v>555.20000000000005</v>
      </c>
      <c r="E20" s="169">
        <v>491.55353000000002</v>
      </c>
      <c r="F20" s="169">
        <f t="shared" si="0"/>
        <v>-63.646470000000022</v>
      </c>
      <c r="G20" s="209">
        <f t="shared" si="1"/>
        <v>0.88536298631123911</v>
      </c>
      <c r="H20" s="169">
        <f t="shared" si="10"/>
        <v>-63.646470000000022</v>
      </c>
      <c r="I20" s="209">
        <f t="shared" si="3"/>
        <v>0.88536298631123911</v>
      </c>
      <c r="J20" s="210"/>
      <c r="K20" s="210"/>
      <c r="L20" s="210">
        <f t="shared" si="4"/>
        <v>0</v>
      </c>
      <c r="M20" s="211" t="str">
        <f t="shared" si="5"/>
        <v/>
      </c>
      <c r="N20" s="169">
        <f t="shared" si="6"/>
        <v>555.20000000000005</v>
      </c>
      <c r="O20" s="169">
        <f t="shared" si="7"/>
        <v>491.55353000000002</v>
      </c>
      <c r="P20" s="169">
        <f t="shared" si="8"/>
        <v>-63.646470000000022</v>
      </c>
      <c r="Q20" s="209">
        <f t="shared" si="9"/>
        <v>0.88536298631123911</v>
      </c>
      <c r="R20" s="87"/>
      <c r="S20" s="87"/>
    </row>
    <row r="21" spans="1:19" s="88" customFormat="1" ht="23.25" customHeight="1" x14ac:dyDescent="0.35">
      <c r="A21" s="221" t="s">
        <v>76</v>
      </c>
      <c r="B21" s="222" t="s">
        <v>73</v>
      </c>
      <c r="C21" s="169">
        <v>700</v>
      </c>
      <c r="D21" s="169">
        <v>700</v>
      </c>
      <c r="E21" s="169">
        <f>313199.95/1000</f>
        <v>313.19995</v>
      </c>
      <c r="F21" s="169">
        <f t="shared" si="0"/>
        <v>-386.80005</v>
      </c>
      <c r="G21" s="209">
        <f t="shared" si="1"/>
        <v>0.44742850000000001</v>
      </c>
      <c r="H21" s="169">
        <f t="shared" si="10"/>
        <v>-386.80005</v>
      </c>
      <c r="I21" s="209">
        <f t="shared" si="3"/>
        <v>0.44742850000000001</v>
      </c>
      <c r="J21" s="210"/>
      <c r="K21" s="210"/>
      <c r="L21" s="210">
        <f t="shared" si="4"/>
        <v>0</v>
      </c>
      <c r="M21" s="211" t="str">
        <f t="shared" si="5"/>
        <v/>
      </c>
      <c r="N21" s="169">
        <f t="shared" si="6"/>
        <v>700</v>
      </c>
      <c r="O21" s="169">
        <f t="shared" si="7"/>
        <v>313.19995</v>
      </c>
      <c r="P21" s="169">
        <f t="shared" si="8"/>
        <v>-386.80005</v>
      </c>
      <c r="Q21" s="209">
        <f t="shared" si="9"/>
        <v>0.44742850000000001</v>
      </c>
      <c r="R21" s="87"/>
      <c r="S21" s="87"/>
    </row>
    <row r="22" spans="1:19" s="88" customFormat="1" ht="40.5" customHeight="1" x14ac:dyDescent="0.35">
      <c r="A22" s="221" t="s">
        <v>67</v>
      </c>
      <c r="B22" s="222" t="s">
        <v>120</v>
      </c>
      <c r="C22" s="169">
        <v>10782.5</v>
      </c>
      <c r="D22" s="169">
        <v>10050.25</v>
      </c>
      <c r="E22" s="169">
        <f>9393600.75/1000</f>
        <v>9393.6007499999996</v>
      </c>
      <c r="F22" s="169">
        <f t="shared" si="0"/>
        <v>-656.64925000000039</v>
      </c>
      <c r="G22" s="209">
        <f t="shared" si="1"/>
        <v>0.93466339145792388</v>
      </c>
      <c r="H22" s="169">
        <f t="shared" si="10"/>
        <v>-1388.8992500000004</v>
      </c>
      <c r="I22" s="209">
        <f t="shared" si="3"/>
        <v>0.87118949686992808</v>
      </c>
      <c r="J22" s="210">
        <v>920.25009999999997</v>
      </c>
      <c r="K22" s="210">
        <v>398.74299999999999</v>
      </c>
      <c r="L22" s="210">
        <f t="shared" si="4"/>
        <v>-521.50710000000004</v>
      </c>
      <c r="M22" s="211">
        <f t="shared" si="5"/>
        <v>0.43329851308899614</v>
      </c>
      <c r="N22" s="169">
        <f t="shared" si="6"/>
        <v>11702.750099999999</v>
      </c>
      <c r="O22" s="169">
        <f t="shared" si="7"/>
        <v>9792.34375</v>
      </c>
      <c r="P22" s="169">
        <f t="shared" si="8"/>
        <v>-1910.4063499999993</v>
      </c>
      <c r="Q22" s="209">
        <f t="shared" si="9"/>
        <v>0.83675577674686918</v>
      </c>
      <c r="R22" s="87"/>
      <c r="S22" s="87"/>
    </row>
    <row r="23" spans="1:19" s="88" customFormat="1" ht="49.5" customHeight="1" x14ac:dyDescent="0.35">
      <c r="A23" s="221">
        <v>3230</v>
      </c>
      <c r="B23" s="222" t="s">
        <v>196</v>
      </c>
      <c r="C23" s="169">
        <f>7001455/1000</f>
        <v>7001.4549999999999</v>
      </c>
      <c r="D23" s="169">
        <v>2308.855</v>
      </c>
      <c r="E23" s="169">
        <f>453404/1000</f>
        <v>453.404</v>
      </c>
      <c r="F23" s="169">
        <f t="shared" si="0"/>
        <v>-1855.451</v>
      </c>
      <c r="G23" s="209">
        <f t="shared" si="1"/>
        <v>0.19637612582860337</v>
      </c>
      <c r="H23" s="169">
        <f t="shared" si="10"/>
        <v>-6548.0509999999995</v>
      </c>
      <c r="I23" s="209">
        <f t="shared" si="3"/>
        <v>6.4758539475009119E-2</v>
      </c>
      <c r="J23" s="210">
        <v>5420.3230000000003</v>
      </c>
      <c r="K23" s="210">
        <v>2400.3173199999997</v>
      </c>
      <c r="L23" s="210">
        <f t="shared" si="4"/>
        <v>-3020.0056800000007</v>
      </c>
      <c r="M23" s="211">
        <f t="shared" si="5"/>
        <v>0.44283658372388501</v>
      </c>
      <c r="N23" s="169">
        <f>C23+J23</f>
        <v>12421.778</v>
      </c>
      <c r="O23" s="169">
        <f>E23+K23</f>
        <v>2853.7213199999997</v>
      </c>
      <c r="P23" s="169">
        <f t="shared" si="8"/>
        <v>-9568.0566800000015</v>
      </c>
      <c r="Q23" s="209">
        <f t="shared" si="9"/>
        <v>0.22973533418484854</v>
      </c>
      <c r="R23" s="87"/>
      <c r="S23" s="87"/>
    </row>
    <row r="24" spans="1:19" s="88" customFormat="1" ht="23.25" customHeight="1" x14ac:dyDescent="0.35">
      <c r="A24" s="221" t="s">
        <v>78</v>
      </c>
      <c r="B24" s="222" t="s">
        <v>121</v>
      </c>
      <c r="C24" s="169">
        <f>29351596/1000</f>
        <v>29351.596000000001</v>
      </c>
      <c r="D24" s="169">
        <v>26593.795999999998</v>
      </c>
      <c r="E24" s="169">
        <f>19924020.08/1000</f>
        <v>19924.020079999998</v>
      </c>
      <c r="F24" s="169">
        <f t="shared" si="0"/>
        <v>-6669.77592</v>
      </c>
      <c r="G24" s="209">
        <f t="shared" si="1"/>
        <v>0.74919804904873299</v>
      </c>
      <c r="H24" s="169">
        <f t="shared" si="10"/>
        <v>-9427.575920000003</v>
      </c>
      <c r="I24" s="209">
        <f t="shared" si="3"/>
        <v>0.67880533923947428</v>
      </c>
      <c r="J24" s="210">
        <v>5118.72109</v>
      </c>
      <c r="K24" s="210">
        <v>4718.0244899999998</v>
      </c>
      <c r="L24" s="210">
        <f t="shared" si="4"/>
        <v>-400.69660000000022</v>
      </c>
      <c r="M24" s="211">
        <f t="shared" si="5"/>
        <v>0.92171939182566398</v>
      </c>
      <c r="N24" s="169">
        <f t="shared" si="6"/>
        <v>34470.317090000004</v>
      </c>
      <c r="O24" s="169">
        <f t="shared" si="7"/>
        <v>24642.044569999998</v>
      </c>
      <c r="P24" s="169">
        <f t="shared" si="8"/>
        <v>-9828.2725200000059</v>
      </c>
      <c r="Q24" s="209">
        <f t="shared" si="9"/>
        <v>0.71487722337050297</v>
      </c>
      <c r="R24" s="87"/>
      <c r="S24" s="87"/>
    </row>
    <row r="25" spans="1:19" s="20" customFormat="1" ht="17.399999999999999" x14ac:dyDescent="0.3">
      <c r="A25" s="224" t="s">
        <v>79</v>
      </c>
      <c r="B25" s="225" t="s">
        <v>35</v>
      </c>
      <c r="C25" s="168">
        <v>109740.10000000002</v>
      </c>
      <c r="D25" s="168">
        <v>101569.408</v>
      </c>
      <c r="E25" s="248">
        <f>93257579.68/1000</f>
        <v>93257.57968000001</v>
      </c>
      <c r="F25" s="168">
        <f t="shared" si="0"/>
        <v>-8311.828319999986</v>
      </c>
      <c r="G25" s="205">
        <f t="shared" si="1"/>
        <v>0.91816602573877382</v>
      </c>
      <c r="H25" s="168">
        <f t="shared" si="2"/>
        <v>-16482.520320000011</v>
      </c>
      <c r="I25" s="205">
        <f t="shared" si="3"/>
        <v>0.84980403407687799</v>
      </c>
      <c r="J25" s="154">
        <v>2046.7503200000001</v>
      </c>
      <c r="K25" s="154">
        <v>1227.4996000000001</v>
      </c>
      <c r="L25" s="154">
        <f t="shared" si="4"/>
        <v>-819.25072</v>
      </c>
      <c r="M25" s="206">
        <f t="shared" si="5"/>
        <v>0.59973099210264202</v>
      </c>
      <c r="N25" s="168">
        <f t="shared" si="6"/>
        <v>111786.85032000003</v>
      </c>
      <c r="O25" s="168">
        <f t="shared" si="7"/>
        <v>94485.079280000005</v>
      </c>
      <c r="P25" s="168">
        <f t="shared" si="8"/>
        <v>-17301.771040000021</v>
      </c>
      <c r="Q25" s="205">
        <f t="shared" si="9"/>
        <v>0.84522534635807223</v>
      </c>
      <c r="R25" s="19"/>
      <c r="S25" s="19"/>
    </row>
    <row r="26" spans="1:19" s="20" customFormat="1" ht="32.25" customHeight="1" x14ac:dyDescent="0.3">
      <c r="A26" s="226" t="s">
        <v>80</v>
      </c>
      <c r="B26" s="225" t="s">
        <v>37</v>
      </c>
      <c r="C26" s="168">
        <f>56643800/1000</f>
        <v>56643.8</v>
      </c>
      <c r="D26" s="168">
        <v>51316.65</v>
      </c>
      <c r="E26" s="168">
        <f>47856021.95/1000</f>
        <v>47856.021950000002</v>
      </c>
      <c r="F26" s="168">
        <f t="shared" si="0"/>
        <v>-3460.6280499999993</v>
      </c>
      <c r="G26" s="205">
        <f t="shared" si="1"/>
        <v>0.93256325091368986</v>
      </c>
      <c r="H26" s="168">
        <f t="shared" si="2"/>
        <v>-8787.7780500000008</v>
      </c>
      <c r="I26" s="205">
        <f t="shared" si="3"/>
        <v>0.84485895985085746</v>
      </c>
      <c r="J26" s="154">
        <v>1196.4659999999999</v>
      </c>
      <c r="K26" s="154">
        <v>439.45021999999994</v>
      </c>
      <c r="L26" s="154">
        <f t="shared" si="4"/>
        <v>-757.01577999999995</v>
      </c>
      <c r="M26" s="206">
        <f t="shared" si="5"/>
        <v>0.3672901862652177</v>
      </c>
      <c r="N26" s="168">
        <f t="shared" si="6"/>
        <v>57840.266000000003</v>
      </c>
      <c r="O26" s="168">
        <f t="shared" si="7"/>
        <v>48295.472170000001</v>
      </c>
      <c r="P26" s="168">
        <f t="shared" si="8"/>
        <v>-9544.7938300000023</v>
      </c>
      <c r="Q26" s="205">
        <f t="shared" si="9"/>
        <v>0.83498011869447486</v>
      </c>
      <c r="R26" s="19"/>
      <c r="S26" s="19"/>
    </row>
    <row r="27" spans="1:19" s="20" customFormat="1" ht="24" customHeight="1" x14ac:dyDescent="0.3">
      <c r="A27" s="226" t="s">
        <v>81</v>
      </c>
      <c r="B27" s="225" t="s">
        <v>34</v>
      </c>
      <c r="C27" s="168">
        <v>3800</v>
      </c>
      <c r="D27" s="168">
        <v>3770</v>
      </c>
      <c r="E27" s="168">
        <f>3211270.3/1000</f>
        <v>3211.2702999999997</v>
      </c>
      <c r="F27" s="168">
        <f t="shared" si="0"/>
        <v>-558.72970000000032</v>
      </c>
      <c r="G27" s="205">
        <f t="shared" si="1"/>
        <v>0.85179583554376648</v>
      </c>
      <c r="H27" s="168">
        <f t="shared" si="2"/>
        <v>-588.72970000000032</v>
      </c>
      <c r="I27" s="205">
        <f t="shared" si="3"/>
        <v>0.84507113157894731</v>
      </c>
      <c r="J27" s="154">
        <v>0</v>
      </c>
      <c r="K27" s="154">
        <v>0</v>
      </c>
      <c r="L27" s="154">
        <f t="shared" si="4"/>
        <v>0</v>
      </c>
      <c r="M27" s="206" t="str">
        <f t="shared" si="5"/>
        <v/>
      </c>
      <c r="N27" s="168">
        <f t="shared" ref="N27:N39" si="11">C27+J27</f>
        <v>3800</v>
      </c>
      <c r="O27" s="168">
        <f t="shared" ref="O27:O39" si="12">E27+K27</f>
        <v>3211.2702999999997</v>
      </c>
      <c r="P27" s="168">
        <f t="shared" ref="P27:P39" si="13">O27-N27</f>
        <v>-588.72970000000032</v>
      </c>
      <c r="Q27" s="205">
        <f t="shared" si="9"/>
        <v>0.84507113157894731</v>
      </c>
      <c r="R27" s="19"/>
      <c r="S27" s="19"/>
    </row>
    <row r="28" spans="1:19" s="20" customFormat="1" ht="24" customHeight="1" x14ac:dyDescent="0.3">
      <c r="A28" s="226" t="s">
        <v>82</v>
      </c>
      <c r="B28" s="225" t="s">
        <v>126</v>
      </c>
      <c r="C28" s="168">
        <f>C29+C30+C31+C32+C33</f>
        <v>108550.14199999999</v>
      </c>
      <c r="D28" s="168">
        <f>D29+D30+D31+D32+D33</f>
        <v>108050.14199999999</v>
      </c>
      <c r="E28" s="168">
        <f>E29+E30+E31+E32+E33</f>
        <v>99620.529519999996</v>
      </c>
      <c r="F28" s="168">
        <f t="shared" si="0"/>
        <v>-8429.6124799999961</v>
      </c>
      <c r="G28" s="205">
        <f t="shared" si="1"/>
        <v>0.92198425356997682</v>
      </c>
      <c r="H28" s="168">
        <f t="shared" si="2"/>
        <v>-8929.6124799999961</v>
      </c>
      <c r="I28" s="205">
        <f t="shared" si="3"/>
        <v>0.91773744082250952</v>
      </c>
      <c r="J28" s="154">
        <f>J29+J30+J31+J32+J33</f>
        <v>118973.58942</v>
      </c>
      <c r="K28" s="154">
        <f>K29+K30+K31+K32+K33</f>
        <v>46235.429799999998</v>
      </c>
      <c r="L28" s="154">
        <f t="shared" si="4"/>
        <v>-72738.159620000006</v>
      </c>
      <c r="M28" s="206">
        <f t="shared" si="5"/>
        <v>0.38861927277641345</v>
      </c>
      <c r="N28" s="168">
        <f t="shared" si="11"/>
        <v>227523.73142</v>
      </c>
      <c r="O28" s="168">
        <f t="shared" si="12"/>
        <v>145855.95931999999</v>
      </c>
      <c r="P28" s="168">
        <f t="shared" si="13"/>
        <v>-81667.772100000002</v>
      </c>
      <c r="Q28" s="205">
        <f t="shared" si="9"/>
        <v>0.6410582246067138</v>
      </c>
      <c r="R28" s="19"/>
      <c r="S28" s="19"/>
    </row>
    <row r="29" spans="1:19" s="88" customFormat="1" ht="39" customHeight="1" x14ac:dyDescent="0.35">
      <c r="A29" s="227" t="s">
        <v>122</v>
      </c>
      <c r="B29" s="228" t="s">
        <v>127</v>
      </c>
      <c r="C29" s="169">
        <v>1000</v>
      </c>
      <c r="D29" s="169">
        <v>1000</v>
      </c>
      <c r="E29" s="169">
        <f>362036.72/1000</f>
        <v>362.03671999999995</v>
      </c>
      <c r="F29" s="169">
        <f t="shared" si="0"/>
        <v>-637.96328000000005</v>
      </c>
      <c r="G29" s="209">
        <f t="shared" si="1"/>
        <v>0.36203671999999992</v>
      </c>
      <c r="H29" s="169">
        <f t="shared" si="2"/>
        <v>-637.96328000000005</v>
      </c>
      <c r="I29" s="209">
        <f t="shared" si="3"/>
        <v>0.36203671999999992</v>
      </c>
      <c r="J29" s="169">
        <v>290</v>
      </c>
      <c r="K29" s="169">
        <v>0</v>
      </c>
      <c r="L29" s="169">
        <f t="shared" si="4"/>
        <v>-290</v>
      </c>
      <c r="M29" s="211">
        <f t="shared" si="5"/>
        <v>0</v>
      </c>
      <c r="N29" s="169">
        <f t="shared" si="11"/>
        <v>1290</v>
      </c>
      <c r="O29" s="169">
        <f t="shared" si="12"/>
        <v>362.03671999999995</v>
      </c>
      <c r="P29" s="169">
        <f t="shared" si="13"/>
        <v>-927.96328000000005</v>
      </c>
      <c r="Q29" s="209">
        <f t="shared" si="9"/>
        <v>0.28064862015503872</v>
      </c>
      <c r="R29" s="87"/>
      <c r="S29" s="87"/>
    </row>
    <row r="30" spans="1:19" s="88" customFormat="1" ht="18" x14ac:dyDescent="0.35">
      <c r="A30" s="227" t="s">
        <v>86</v>
      </c>
      <c r="B30" s="228" t="s">
        <v>128</v>
      </c>
      <c r="C30" s="169">
        <v>200</v>
      </c>
      <c r="D30" s="169">
        <v>200</v>
      </c>
      <c r="E30" s="169">
        <v>0</v>
      </c>
      <c r="F30" s="169">
        <f t="shared" si="0"/>
        <v>-200</v>
      </c>
      <c r="G30" s="209">
        <f t="shared" si="1"/>
        <v>0</v>
      </c>
      <c r="H30" s="169">
        <f t="shared" si="2"/>
        <v>-200</v>
      </c>
      <c r="I30" s="209">
        <f t="shared" si="3"/>
        <v>0</v>
      </c>
      <c r="J30" s="169">
        <v>114671.022</v>
      </c>
      <c r="K30" s="169">
        <v>46105.4398</v>
      </c>
      <c r="L30" s="169">
        <f t="shared" si="4"/>
        <v>-68565.582200000004</v>
      </c>
      <c r="M30" s="211">
        <f t="shared" si="5"/>
        <v>0.40206705230201928</v>
      </c>
      <c r="N30" s="169">
        <f t="shared" si="11"/>
        <v>114871.022</v>
      </c>
      <c r="O30" s="169">
        <f t="shared" si="12"/>
        <v>46105.4398</v>
      </c>
      <c r="P30" s="169">
        <f t="shared" si="13"/>
        <v>-68765.582200000004</v>
      </c>
      <c r="Q30" s="209">
        <f t="shared" si="9"/>
        <v>0.40136702013498238</v>
      </c>
      <c r="R30" s="21"/>
      <c r="S30" s="87"/>
    </row>
    <row r="31" spans="1:19" s="88" customFormat="1" ht="36" x14ac:dyDescent="0.35">
      <c r="A31" s="227" t="s">
        <v>87</v>
      </c>
      <c r="B31" s="228" t="s">
        <v>129</v>
      </c>
      <c r="C31" s="169">
        <v>100900</v>
      </c>
      <c r="D31" s="169">
        <v>100900</v>
      </c>
      <c r="E31" s="169">
        <f>96383788.55/1000</f>
        <v>96383.788549999997</v>
      </c>
      <c r="F31" s="169">
        <f t="shared" si="0"/>
        <v>-4516.2114500000025</v>
      </c>
      <c r="G31" s="209">
        <f t="shared" si="1"/>
        <v>0.9552407190287413</v>
      </c>
      <c r="H31" s="169">
        <f t="shared" si="2"/>
        <v>-4516.2114500000025</v>
      </c>
      <c r="I31" s="209">
        <f t="shared" si="3"/>
        <v>0.9552407190287413</v>
      </c>
      <c r="J31" s="169">
        <v>3632.5674199999999</v>
      </c>
      <c r="K31" s="169">
        <v>0</v>
      </c>
      <c r="L31" s="169">
        <f t="shared" si="4"/>
        <v>-3632.5674199999999</v>
      </c>
      <c r="M31" s="211">
        <f t="shared" si="5"/>
        <v>0</v>
      </c>
      <c r="N31" s="169">
        <f t="shared" si="11"/>
        <v>104532.56742000001</v>
      </c>
      <c r="O31" s="169">
        <f t="shared" si="12"/>
        <v>96383.788549999997</v>
      </c>
      <c r="P31" s="169">
        <f t="shared" si="13"/>
        <v>-8148.7788700000092</v>
      </c>
      <c r="Q31" s="209">
        <f t="shared" si="9"/>
        <v>0.92204554933335614</v>
      </c>
      <c r="R31" s="21"/>
      <c r="S31" s="87"/>
    </row>
    <row r="32" spans="1:19" s="88" customFormat="1" ht="35.25" customHeight="1" x14ac:dyDescent="0.35">
      <c r="A32" s="227" t="s">
        <v>85</v>
      </c>
      <c r="B32" s="228" t="s">
        <v>130</v>
      </c>
      <c r="C32" s="169">
        <v>6450.1419999999998</v>
      </c>
      <c r="D32" s="169">
        <v>5950.1419999999998</v>
      </c>
      <c r="E32" s="169">
        <f>2874704.25/1000</f>
        <v>2874.7042499999998</v>
      </c>
      <c r="F32" s="169">
        <f t="shared" si="0"/>
        <v>-3075.4377500000001</v>
      </c>
      <c r="G32" s="209">
        <f t="shared" si="1"/>
        <v>0.48313204121851205</v>
      </c>
      <c r="H32" s="169">
        <f t="shared" si="2"/>
        <v>-3575.4377500000001</v>
      </c>
      <c r="I32" s="209">
        <f t="shared" si="3"/>
        <v>0.44568076950864027</v>
      </c>
      <c r="J32" s="169">
        <v>130</v>
      </c>
      <c r="K32" s="169">
        <v>129.99</v>
      </c>
      <c r="L32" s="169">
        <f t="shared" si="4"/>
        <v>-9.9999999999909051E-3</v>
      </c>
      <c r="M32" s="211">
        <f t="shared" si="5"/>
        <v>0.99992307692307703</v>
      </c>
      <c r="N32" s="169">
        <f t="shared" si="11"/>
        <v>6580.1419999999998</v>
      </c>
      <c r="O32" s="169">
        <f t="shared" si="12"/>
        <v>3004.6942499999996</v>
      </c>
      <c r="P32" s="169">
        <f t="shared" si="13"/>
        <v>-3575.4477500000003</v>
      </c>
      <c r="Q32" s="209">
        <f t="shared" si="9"/>
        <v>0.45663060918746123</v>
      </c>
      <c r="R32" s="21"/>
      <c r="S32" s="87"/>
    </row>
    <row r="33" spans="1:19" s="20" customFormat="1" ht="34.5" customHeight="1" x14ac:dyDescent="0.35">
      <c r="A33" s="229" t="s">
        <v>161</v>
      </c>
      <c r="B33" s="230" t="s">
        <v>162</v>
      </c>
      <c r="C33" s="171">
        <v>0</v>
      </c>
      <c r="D33" s="169">
        <v>0</v>
      </c>
      <c r="E33" s="169">
        <v>0</v>
      </c>
      <c r="F33" s="169">
        <f t="shared" si="0"/>
        <v>0</v>
      </c>
      <c r="G33" s="209" t="str">
        <f t="shared" si="1"/>
        <v/>
      </c>
      <c r="H33" s="169">
        <f t="shared" si="2"/>
        <v>0</v>
      </c>
      <c r="I33" s="209" t="str">
        <f t="shared" si="3"/>
        <v/>
      </c>
      <c r="J33" s="172">
        <f>250000/1000</f>
        <v>250</v>
      </c>
      <c r="K33" s="169"/>
      <c r="L33" s="169">
        <f t="shared" si="4"/>
        <v>-250</v>
      </c>
      <c r="M33" s="211">
        <f t="shared" si="5"/>
        <v>0</v>
      </c>
      <c r="N33" s="169">
        <f>C33+J33</f>
        <v>250</v>
      </c>
      <c r="O33" s="169">
        <f>E33+K33</f>
        <v>0</v>
      </c>
      <c r="P33" s="169">
        <f>O33-N33</f>
        <v>-250</v>
      </c>
      <c r="Q33" s="209">
        <f t="shared" si="9"/>
        <v>0</v>
      </c>
      <c r="R33" s="21"/>
      <c r="S33" s="19"/>
    </row>
    <row r="34" spans="1:19" s="20" customFormat="1" ht="17.399999999999999" x14ac:dyDescent="0.3">
      <c r="A34" s="226" t="s">
        <v>83</v>
      </c>
      <c r="B34" s="225" t="s">
        <v>131</v>
      </c>
      <c r="C34" s="168">
        <f>C35+C37+C38+C39+C36</f>
        <v>24508.665999999997</v>
      </c>
      <c r="D34" s="168">
        <f>D35+D37+D38+D39+D36</f>
        <v>24083.865999999998</v>
      </c>
      <c r="E34" s="168">
        <f>E35+E37+E38+E39+E36</f>
        <v>6320.1273700000002</v>
      </c>
      <c r="F34" s="168">
        <f t="shared" si="0"/>
        <v>-17763.73863</v>
      </c>
      <c r="G34" s="205">
        <f t="shared" si="1"/>
        <v>0.26242162989945222</v>
      </c>
      <c r="H34" s="168">
        <f t="shared" si="2"/>
        <v>-18188.538629999995</v>
      </c>
      <c r="I34" s="205">
        <f t="shared" si="3"/>
        <v>0.25787316902519297</v>
      </c>
      <c r="J34" s="154">
        <f>J35+J37+J38+J39+J36</f>
        <v>1086.9880000000001</v>
      </c>
      <c r="K34" s="154">
        <f>(K35+K37+K38+K39+K36)</f>
        <v>0</v>
      </c>
      <c r="L34" s="154">
        <f t="shared" si="4"/>
        <v>-1086.9880000000001</v>
      </c>
      <c r="M34" s="206">
        <f t="shared" si="5"/>
        <v>0</v>
      </c>
      <c r="N34" s="168">
        <f t="shared" si="11"/>
        <v>25595.653999999999</v>
      </c>
      <c r="O34" s="168">
        <f t="shared" si="12"/>
        <v>6320.1273700000002</v>
      </c>
      <c r="P34" s="168">
        <f t="shared" si="13"/>
        <v>-19275.52663</v>
      </c>
      <c r="Q34" s="205">
        <f t="shared" si="9"/>
        <v>0.2469218942403269</v>
      </c>
      <c r="R34" s="21"/>
      <c r="S34" s="19"/>
    </row>
    <row r="35" spans="1:19" s="88" customFormat="1" ht="36" x14ac:dyDescent="0.35">
      <c r="A35" s="227" t="s">
        <v>84</v>
      </c>
      <c r="B35" s="228" t="s">
        <v>132</v>
      </c>
      <c r="C35" s="169">
        <v>940</v>
      </c>
      <c r="D35" s="169">
        <v>890</v>
      </c>
      <c r="E35" s="247">
        <f>395357.21/1000</f>
        <v>395.35721000000001</v>
      </c>
      <c r="F35" s="169">
        <f t="shared" si="0"/>
        <v>-494.64278999999999</v>
      </c>
      <c r="G35" s="209">
        <f t="shared" si="1"/>
        <v>0.44422158426966291</v>
      </c>
      <c r="H35" s="169">
        <f t="shared" si="2"/>
        <v>-544.64278999999999</v>
      </c>
      <c r="I35" s="209">
        <f t="shared" si="3"/>
        <v>0.42059277659574468</v>
      </c>
      <c r="J35" s="169"/>
      <c r="K35" s="169"/>
      <c r="L35" s="169">
        <f t="shared" si="4"/>
        <v>0</v>
      </c>
      <c r="M35" s="211" t="str">
        <f t="shared" si="5"/>
        <v/>
      </c>
      <c r="N35" s="169">
        <f t="shared" si="11"/>
        <v>940</v>
      </c>
      <c r="O35" s="169">
        <f t="shared" si="12"/>
        <v>395.35721000000001</v>
      </c>
      <c r="P35" s="169">
        <f t="shared" si="13"/>
        <v>-544.64278999999999</v>
      </c>
      <c r="Q35" s="209">
        <f t="shared" si="9"/>
        <v>0.42059277659574468</v>
      </c>
      <c r="R35" s="21"/>
      <c r="S35" s="87"/>
    </row>
    <row r="36" spans="1:19" s="88" customFormat="1" ht="18" x14ac:dyDescent="0.35">
      <c r="A36" s="227" t="s">
        <v>179</v>
      </c>
      <c r="B36" s="228" t="s">
        <v>180</v>
      </c>
      <c r="C36" s="169">
        <v>7949.0659999999998</v>
      </c>
      <c r="D36" s="169">
        <v>7949.0659999999998</v>
      </c>
      <c r="E36" s="169">
        <f>5767342.87/1000</f>
        <v>5767.3428700000004</v>
      </c>
      <c r="F36" s="169">
        <f t="shared" si="0"/>
        <v>-2181.7231299999994</v>
      </c>
      <c r="G36" s="209">
        <f t="shared" si="1"/>
        <v>0.72553717254329009</v>
      </c>
      <c r="H36" s="169">
        <f t="shared" si="2"/>
        <v>-2181.7231299999994</v>
      </c>
      <c r="I36" s="209">
        <f t="shared" si="3"/>
        <v>0.72553717254329009</v>
      </c>
      <c r="J36" s="169"/>
      <c r="K36" s="169"/>
      <c r="L36" s="169">
        <f t="shared" si="4"/>
        <v>0</v>
      </c>
      <c r="M36" s="211" t="str">
        <f t="shared" si="5"/>
        <v/>
      </c>
      <c r="N36" s="169">
        <f>C36+J36</f>
        <v>7949.0659999999998</v>
      </c>
      <c r="O36" s="169">
        <f>E36+K36</f>
        <v>5767.3428700000004</v>
      </c>
      <c r="P36" s="169">
        <f>O36-N36</f>
        <v>-2181.7231299999994</v>
      </c>
      <c r="Q36" s="209">
        <f t="shared" si="9"/>
        <v>0.72553717254329009</v>
      </c>
      <c r="R36" s="21"/>
      <c r="S36" s="87"/>
    </row>
    <row r="37" spans="1:19" s="88" customFormat="1" ht="18" x14ac:dyDescent="0.35">
      <c r="A37" s="227" t="s">
        <v>123</v>
      </c>
      <c r="B37" s="228" t="s">
        <v>133</v>
      </c>
      <c r="C37" s="169"/>
      <c r="D37" s="169"/>
      <c r="E37" s="169"/>
      <c r="F37" s="169">
        <f t="shared" si="0"/>
        <v>0</v>
      </c>
      <c r="G37" s="209" t="str">
        <f t="shared" si="1"/>
        <v/>
      </c>
      <c r="H37" s="169">
        <f t="shared" si="2"/>
        <v>0</v>
      </c>
      <c r="I37" s="209" t="str">
        <f t="shared" si="3"/>
        <v/>
      </c>
      <c r="J37" s="169">
        <v>1086.9880000000001</v>
      </c>
      <c r="K37" s="169"/>
      <c r="L37" s="169">
        <f t="shared" si="4"/>
        <v>-1086.9880000000001</v>
      </c>
      <c r="M37" s="211">
        <f t="shared" si="5"/>
        <v>0</v>
      </c>
      <c r="N37" s="169">
        <f t="shared" si="11"/>
        <v>1086.9880000000001</v>
      </c>
      <c r="O37" s="169">
        <f t="shared" si="12"/>
        <v>0</v>
      </c>
      <c r="P37" s="169">
        <f t="shared" si="13"/>
        <v>-1086.9880000000001</v>
      </c>
      <c r="Q37" s="209">
        <f t="shared" si="9"/>
        <v>0</v>
      </c>
      <c r="R37" s="21"/>
      <c r="S37" s="87"/>
    </row>
    <row r="38" spans="1:19" s="88" customFormat="1" ht="27.75" customHeight="1" x14ac:dyDescent="0.35">
      <c r="A38" s="227" t="s">
        <v>124</v>
      </c>
      <c r="B38" s="228" t="s">
        <v>36</v>
      </c>
      <c r="C38" s="169">
        <v>320</v>
      </c>
      <c r="D38" s="169">
        <v>285</v>
      </c>
      <c r="E38" s="169">
        <f>157427.29/1000</f>
        <v>157.42729</v>
      </c>
      <c r="F38" s="169">
        <f t="shared" si="0"/>
        <v>-127.57271</v>
      </c>
      <c r="G38" s="209">
        <f t="shared" si="1"/>
        <v>0.55237645614035091</v>
      </c>
      <c r="H38" s="169">
        <f t="shared" si="2"/>
        <v>-162.57271</v>
      </c>
      <c r="I38" s="209">
        <f t="shared" si="3"/>
        <v>0.49196028125000002</v>
      </c>
      <c r="J38" s="169"/>
      <c r="K38" s="169"/>
      <c r="L38" s="169">
        <f t="shared" si="4"/>
        <v>0</v>
      </c>
      <c r="M38" s="211" t="str">
        <f t="shared" si="5"/>
        <v/>
      </c>
      <c r="N38" s="169">
        <f t="shared" si="11"/>
        <v>320</v>
      </c>
      <c r="O38" s="169">
        <f t="shared" si="12"/>
        <v>157.42729</v>
      </c>
      <c r="P38" s="169">
        <f t="shared" si="13"/>
        <v>-162.57271</v>
      </c>
      <c r="Q38" s="209">
        <f t="shared" si="9"/>
        <v>0.49196028125000002</v>
      </c>
      <c r="R38" s="21"/>
      <c r="S38" s="87"/>
    </row>
    <row r="39" spans="1:19" s="88" customFormat="1" ht="26.25" customHeight="1" x14ac:dyDescent="0.35">
      <c r="A39" s="227" t="s">
        <v>125</v>
      </c>
      <c r="B39" s="228" t="s">
        <v>45</v>
      </c>
      <c r="C39" s="169">
        <f>15299600/1000</f>
        <v>15299.6</v>
      </c>
      <c r="D39" s="169">
        <v>14959.8</v>
      </c>
      <c r="E39" s="169">
        <v>0</v>
      </c>
      <c r="F39" s="169">
        <f t="shared" si="0"/>
        <v>-14959.8</v>
      </c>
      <c r="G39" s="209">
        <f t="shared" si="1"/>
        <v>0</v>
      </c>
      <c r="H39" s="169">
        <f t="shared" si="2"/>
        <v>-15299.6</v>
      </c>
      <c r="I39" s="209">
        <f t="shared" si="3"/>
        <v>0</v>
      </c>
      <c r="J39" s="169"/>
      <c r="K39" s="169"/>
      <c r="L39" s="169">
        <f t="shared" si="4"/>
        <v>0</v>
      </c>
      <c r="M39" s="211" t="str">
        <f t="shared" si="5"/>
        <v/>
      </c>
      <c r="N39" s="169">
        <f t="shared" si="11"/>
        <v>15299.6</v>
      </c>
      <c r="O39" s="169">
        <f t="shared" si="12"/>
        <v>0</v>
      </c>
      <c r="P39" s="169">
        <f t="shared" si="13"/>
        <v>-15299.6</v>
      </c>
      <c r="Q39" s="209">
        <f t="shared" si="9"/>
        <v>0</v>
      </c>
      <c r="R39" s="21"/>
      <c r="S39" s="87"/>
    </row>
    <row r="40" spans="1:19" s="49" customFormat="1" ht="42.75" customHeight="1" x14ac:dyDescent="0.3">
      <c r="A40" s="231" t="s">
        <v>23</v>
      </c>
      <c r="B40" s="232" t="s">
        <v>92</v>
      </c>
      <c r="C40" s="164">
        <f>C6+C9+C10+C11+C25+C26+C27+C28+C34</f>
        <v>1379732.2298100002</v>
      </c>
      <c r="D40" s="164">
        <f>D6+D9+D10+D11+D25+D26+D27+D28+D34</f>
        <v>1281550.5908099997</v>
      </c>
      <c r="E40" s="164">
        <f>E6+E9+E10+E11+E25+E26+E27+E28+E34</f>
        <v>1122498.7624399997</v>
      </c>
      <c r="F40" s="164">
        <f t="shared" si="0"/>
        <v>-159051.82837</v>
      </c>
      <c r="G40" s="233">
        <f t="shared" ref="G40:G55" si="14">IFERROR(E40/D40,"")</f>
        <v>0.87589110448657992</v>
      </c>
      <c r="H40" s="164">
        <f t="shared" si="2"/>
        <v>-257233.46737000044</v>
      </c>
      <c r="I40" s="233">
        <f t="shared" ref="I40:I51" si="15">IFERROR(E40/C40,"")</f>
        <v>0.81356276108341441</v>
      </c>
      <c r="J40" s="164">
        <f>J6+J9+J10+J11+J25+J26+J27+J28+J34</f>
        <v>461956.64092999999</v>
      </c>
      <c r="K40" s="164">
        <f>K6+K9+K10+K11+K25+K26+K27+K28+K34</f>
        <v>280396.02125000005</v>
      </c>
      <c r="L40" s="164">
        <f t="shared" ref="L40:L58" si="16">K40-J40</f>
        <v>-181560.61967999995</v>
      </c>
      <c r="M40" s="233">
        <f>IFERROR(K40/J40,"")</f>
        <v>0.60697475998074957</v>
      </c>
      <c r="N40" s="164">
        <f t="shared" si="6"/>
        <v>1841688.8707400002</v>
      </c>
      <c r="O40" s="164">
        <f t="shared" si="7"/>
        <v>1402894.7836899997</v>
      </c>
      <c r="P40" s="164">
        <f t="shared" si="8"/>
        <v>-438794.08705000044</v>
      </c>
      <c r="Q40" s="233">
        <f>IFERROR(O40/N40,"")</f>
        <v>0.76174363975295634</v>
      </c>
      <c r="R40" s="47"/>
      <c r="S40" s="48"/>
    </row>
    <row r="41" spans="1:19" s="91" customFormat="1" ht="42.75" customHeight="1" x14ac:dyDescent="0.35">
      <c r="A41" s="207" t="s">
        <v>154</v>
      </c>
      <c r="B41" s="234" t="s">
        <v>155</v>
      </c>
      <c r="C41" s="169">
        <f>83505934/1000</f>
        <v>83505.933999999994</v>
      </c>
      <c r="D41" s="169">
        <v>83505.933999999994</v>
      </c>
      <c r="E41" s="169">
        <f>75159243/1000</f>
        <v>75159.243000000002</v>
      </c>
      <c r="F41" s="169">
        <f t="shared" si="0"/>
        <v>-8346.6909999999916</v>
      </c>
      <c r="G41" s="209">
        <f t="shared" si="14"/>
        <v>0.90004673200829066</v>
      </c>
      <c r="H41" s="169">
        <f t="shared" si="2"/>
        <v>-8346.6909999999916</v>
      </c>
      <c r="I41" s="209">
        <f t="shared" si="15"/>
        <v>0.90004673200829066</v>
      </c>
      <c r="J41" s="212">
        <v>2231.895</v>
      </c>
      <c r="K41" s="212">
        <f>2231895/1000</f>
        <v>2231.895</v>
      </c>
      <c r="L41" s="169">
        <f t="shared" si="16"/>
        <v>0</v>
      </c>
      <c r="M41" s="211">
        <f t="shared" ref="M41:M58" si="17">IFERROR(K41/J41,"")</f>
        <v>1</v>
      </c>
      <c r="N41" s="169">
        <f t="shared" si="6"/>
        <v>85737.828999999998</v>
      </c>
      <c r="O41" s="169">
        <f t="shared" si="7"/>
        <v>77391.138000000006</v>
      </c>
      <c r="P41" s="169">
        <f t="shared" si="8"/>
        <v>-8346.6909999999916</v>
      </c>
      <c r="Q41" s="211">
        <f t="shared" ref="Q41:Q58" si="18">IFERROR(O41/N41,"")</f>
        <v>0.90264867798320403</v>
      </c>
      <c r="R41" s="89"/>
      <c r="S41" s="90"/>
    </row>
    <row r="42" spans="1:19" s="47" customFormat="1" ht="18.75" customHeight="1" x14ac:dyDescent="0.3">
      <c r="A42" s="231" t="s">
        <v>24</v>
      </c>
      <c r="B42" s="232" t="s">
        <v>176</v>
      </c>
      <c r="C42" s="164">
        <f>C40+C41</f>
        <v>1463238.1638100001</v>
      </c>
      <c r="D42" s="164">
        <f>D40+D41</f>
        <v>1365056.5248099996</v>
      </c>
      <c r="E42" s="164">
        <f>E40+E41</f>
        <v>1197658.0054399997</v>
      </c>
      <c r="F42" s="164">
        <f t="shared" si="0"/>
        <v>-167398.51936999988</v>
      </c>
      <c r="G42" s="233">
        <f t="shared" si="14"/>
        <v>0.87736880024561636</v>
      </c>
      <c r="H42" s="164">
        <f t="shared" si="2"/>
        <v>-265580.15837000031</v>
      </c>
      <c r="I42" s="233">
        <f t="shared" si="15"/>
        <v>0.81849833817997275</v>
      </c>
      <c r="J42" s="71">
        <f>J40+J41</f>
        <v>464188.53593000001</v>
      </c>
      <c r="K42" s="164">
        <f>K40+K41</f>
        <v>282627.91625000007</v>
      </c>
      <c r="L42" s="164">
        <f t="shared" si="16"/>
        <v>-181560.61967999995</v>
      </c>
      <c r="M42" s="233">
        <f t="shared" si="17"/>
        <v>0.60886449012308341</v>
      </c>
      <c r="N42" s="164">
        <f t="shared" si="6"/>
        <v>1927426.6997400001</v>
      </c>
      <c r="O42" s="164">
        <f t="shared" si="7"/>
        <v>1480285.9216899998</v>
      </c>
      <c r="P42" s="164">
        <f t="shared" si="8"/>
        <v>-447140.77805000031</v>
      </c>
      <c r="Q42" s="233">
        <f t="shared" si="18"/>
        <v>0.76801152639925696</v>
      </c>
    </row>
    <row r="43" spans="1:19" s="87" customFormat="1" ht="18" x14ac:dyDescent="0.35">
      <c r="A43" s="207" t="s">
        <v>88</v>
      </c>
      <c r="B43" s="234" t="s">
        <v>138</v>
      </c>
      <c r="C43" s="169">
        <f>6945124/1000</f>
        <v>6945.1239999999998</v>
      </c>
      <c r="D43" s="169">
        <v>6945.1239999999998</v>
      </c>
      <c r="E43" s="169">
        <f>6945124/1000</f>
        <v>6945.1239999999998</v>
      </c>
      <c r="F43" s="169">
        <f t="shared" si="0"/>
        <v>0</v>
      </c>
      <c r="G43" s="209">
        <f t="shared" si="14"/>
        <v>1</v>
      </c>
      <c r="H43" s="169">
        <f t="shared" si="2"/>
        <v>0</v>
      </c>
      <c r="I43" s="209">
        <f t="shared" si="15"/>
        <v>1</v>
      </c>
      <c r="J43" s="169"/>
      <c r="K43" s="169"/>
      <c r="L43" s="169">
        <f t="shared" si="16"/>
        <v>0</v>
      </c>
      <c r="M43" s="211" t="str">
        <f t="shared" si="17"/>
        <v/>
      </c>
      <c r="N43" s="169">
        <f t="shared" si="6"/>
        <v>6945.1239999999998</v>
      </c>
      <c r="O43" s="169">
        <f t="shared" si="7"/>
        <v>6945.1239999999998</v>
      </c>
      <c r="P43" s="169">
        <f t="shared" si="8"/>
        <v>0</v>
      </c>
      <c r="Q43" s="211">
        <f t="shared" si="18"/>
        <v>1</v>
      </c>
    </row>
    <row r="44" spans="1:19" s="87" customFormat="1" ht="46.8" x14ac:dyDescent="0.35">
      <c r="A44" s="207" t="s">
        <v>134</v>
      </c>
      <c r="B44" s="234" t="s">
        <v>139</v>
      </c>
      <c r="C44" s="169">
        <f>144827292/1000</f>
        <v>144827.29199999999</v>
      </c>
      <c r="D44" s="169">
        <v>131658.734</v>
      </c>
      <c r="E44" s="169">
        <f>110340866.92/1000</f>
        <v>110340.86692</v>
      </c>
      <c r="F44" s="169">
        <f t="shared" si="0"/>
        <v>-21317.867079999996</v>
      </c>
      <c r="G44" s="209">
        <f t="shared" si="14"/>
        <v>0.83808239353114244</v>
      </c>
      <c r="H44" s="169">
        <f t="shared" si="2"/>
        <v>-34486.425079999986</v>
      </c>
      <c r="I44" s="209">
        <f t="shared" si="15"/>
        <v>0.76187896215031081</v>
      </c>
      <c r="J44" s="169"/>
      <c r="K44" s="169"/>
      <c r="L44" s="169">
        <f t="shared" si="16"/>
        <v>0</v>
      </c>
      <c r="M44" s="211" t="str">
        <f t="shared" si="17"/>
        <v/>
      </c>
      <c r="N44" s="169">
        <f t="shared" ref="N44:N51" si="19">C44+J44</f>
        <v>144827.29199999999</v>
      </c>
      <c r="O44" s="169">
        <f t="shared" ref="O44:O51" si="20">E44+K44</f>
        <v>110340.86692</v>
      </c>
      <c r="P44" s="169">
        <f t="shared" ref="P44:P51" si="21">O44-N44</f>
        <v>-34486.425079999986</v>
      </c>
      <c r="Q44" s="211">
        <f t="shared" si="18"/>
        <v>0.76187896215031081</v>
      </c>
    </row>
    <row r="45" spans="1:19" s="38" customFormat="1" ht="59.25" customHeight="1" x14ac:dyDescent="0.35">
      <c r="A45" s="207" t="s">
        <v>135</v>
      </c>
      <c r="B45" s="222" t="s">
        <v>140</v>
      </c>
      <c r="C45" s="169">
        <v>101050.27</v>
      </c>
      <c r="D45" s="169">
        <v>96739.17</v>
      </c>
      <c r="E45" s="169">
        <f>96739170/1000</f>
        <v>96739.17</v>
      </c>
      <c r="F45" s="169">
        <f t="shared" si="0"/>
        <v>0</v>
      </c>
      <c r="G45" s="209">
        <f t="shared" si="14"/>
        <v>1</v>
      </c>
      <c r="H45" s="169">
        <f t="shared" si="2"/>
        <v>-4311.1000000000058</v>
      </c>
      <c r="I45" s="209">
        <f t="shared" si="15"/>
        <v>0.95733707589301831</v>
      </c>
      <c r="J45" s="169">
        <v>87612.3</v>
      </c>
      <c r="K45" s="169">
        <v>87612.3</v>
      </c>
      <c r="L45" s="169">
        <f t="shared" si="16"/>
        <v>0</v>
      </c>
      <c r="M45" s="211">
        <f t="shared" si="17"/>
        <v>1</v>
      </c>
      <c r="N45" s="169">
        <f t="shared" si="19"/>
        <v>188662.57</v>
      </c>
      <c r="O45" s="169">
        <f t="shared" si="20"/>
        <v>184351.47</v>
      </c>
      <c r="P45" s="169">
        <f t="shared" si="21"/>
        <v>-4311.1000000000058</v>
      </c>
      <c r="Q45" s="211">
        <f t="shared" si="18"/>
        <v>0.97714915046476891</v>
      </c>
    </row>
    <row r="46" spans="1:19" s="38" customFormat="1" ht="24.75" hidden="1" customHeight="1" x14ac:dyDescent="0.35">
      <c r="A46" s="207" t="s">
        <v>136</v>
      </c>
      <c r="B46" s="234" t="s">
        <v>141</v>
      </c>
      <c r="C46" s="169"/>
      <c r="D46" s="169"/>
      <c r="E46" s="169"/>
      <c r="F46" s="169">
        <f t="shared" si="0"/>
        <v>0</v>
      </c>
      <c r="G46" s="209" t="str">
        <f t="shared" si="14"/>
        <v/>
      </c>
      <c r="H46" s="169">
        <f t="shared" si="2"/>
        <v>0</v>
      </c>
      <c r="I46" s="209" t="str">
        <f t="shared" si="15"/>
        <v/>
      </c>
      <c r="J46" s="169">
        <v>0</v>
      </c>
      <c r="K46" s="169">
        <v>0</v>
      </c>
      <c r="L46" s="169">
        <f t="shared" si="16"/>
        <v>0</v>
      </c>
      <c r="M46" s="211" t="str">
        <f t="shared" si="17"/>
        <v/>
      </c>
      <c r="N46" s="169">
        <f t="shared" si="19"/>
        <v>0</v>
      </c>
      <c r="O46" s="169">
        <f t="shared" si="20"/>
        <v>0</v>
      </c>
      <c r="P46" s="169">
        <f t="shared" si="21"/>
        <v>0</v>
      </c>
      <c r="Q46" s="211" t="str">
        <f t="shared" si="18"/>
        <v/>
      </c>
    </row>
    <row r="47" spans="1:19" s="38" customFormat="1" ht="62.4" x14ac:dyDescent="0.35">
      <c r="A47" s="207" t="s">
        <v>189</v>
      </c>
      <c r="B47" s="234" t="s">
        <v>191</v>
      </c>
      <c r="C47" s="169">
        <v>457.40000000000003</v>
      </c>
      <c r="D47" s="169">
        <v>415.8</v>
      </c>
      <c r="E47" s="169">
        <f>415800/1000</f>
        <v>415.8</v>
      </c>
      <c r="F47" s="169">
        <f t="shared" si="0"/>
        <v>0</v>
      </c>
      <c r="G47" s="209">
        <f t="shared" si="14"/>
        <v>1</v>
      </c>
      <c r="H47" s="169">
        <f t="shared" si="2"/>
        <v>-41.600000000000023</v>
      </c>
      <c r="I47" s="209">
        <f t="shared" si="15"/>
        <v>0.90905115872321818</v>
      </c>
      <c r="J47" s="169"/>
      <c r="K47" s="169"/>
      <c r="L47" s="169">
        <f>K47-J47</f>
        <v>0</v>
      </c>
      <c r="M47" s="211" t="str">
        <f>IFERROR(K47/J47,"")</f>
        <v/>
      </c>
      <c r="N47" s="169">
        <f t="shared" si="19"/>
        <v>457.40000000000003</v>
      </c>
      <c r="O47" s="169">
        <f t="shared" si="20"/>
        <v>415.8</v>
      </c>
      <c r="P47" s="169">
        <f t="shared" si="21"/>
        <v>-41.600000000000023</v>
      </c>
      <c r="Q47" s="211">
        <f>IFERROR(O47/N47,"")</f>
        <v>0.90905115872321818</v>
      </c>
    </row>
    <row r="48" spans="1:19" s="38" customFormat="1" ht="23.25" hidden="1" customHeight="1" x14ac:dyDescent="0.35">
      <c r="A48" s="207" t="s">
        <v>190</v>
      </c>
      <c r="B48" s="234" t="s">
        <v>192</v>
      </c>
      <c r="C48" s="169"/>
      <c r="D48" s="169"/>
      <c r="E48" s="169"/>
      <c r="F48" s="169">
        <f t="shared" si="0"/>
        <v>0</v>
      </c>
      <c r="G48" s="209" t="str">
        <f t="shared" si="14"/>
        <v/>
      </c>
      <c r="H48" s="169">
        <f t="shared" si="2"/>
        <v>0</v>
      </c>
      <c r="I48" s="209" t="str">
        <f t="shared" si="15"/>
        <v/>
      </c>
      <c r="J48" s="169">
        <v>0</v>
      </c>
      <c r="K48" s="169">
        <v>0</v>
      </c>
      <c r="L48" s="169">
        <f>K48-J48</f>
        <v>0</v>
      </c>
      <c r="M48" s="211" t="str">
        <f>IFERROR(K48/J48,"")</f>
        <v/>
      </c>
      <c r="N48" s="169">
        <f t="shared" si="19"/>
        <v>0</v>
      </c>
      <c r="O48" s="169">
        <f t="shared" si="20"/>
        <v>0</v>
      </c>
      <c r="P48" s="169">
        <f t="shared" si="21"/>
        <v>0</v>
      </c>
      <c r="Q48" s="211" t="str">
        <f>IFERROR(O48/N48,"")</f>
        <v/>
      </c>
    </row>
    <row r="49" spans="1:19" s="38" customFormat="1" ht="46.8" x14ac:dyDescent="0.35">
      <c r="A49" s="207" t="s">
        <v>137</v>
      </c>
      <c r="B49" s="222" t="s">
        <v>142</v>
      </c>
      <c r="C49" s="169">
        <f>12858165/1000</f>
        <v>12858.165000000001</v>
      </c>
      <c r="D49" s="169">
        <v>12472.565000000001</v>
      </c>
      <c r="E49" s="169">
        <f>10375376.86/1000</f>
        <v>10375.37686</v>
      </c>
      <c r="F49" s="169">
        <f t="shared" si="0"/>
        <v>-2097.1881400000002</v>
      </c>
      <c r="G49" s="209">
        <f t="shared" si="14"/>
        <v>0.83185590614280225</v>
      </c>
      <c r="H49" s="169">
        <f t="shared" si="2"/>
        <v>-2482.7881400000006</v>
      </c>
      <c r="I49" s="209">
        <f t="shared" si="15"/>
        <v>0.80690960646406384</v>
      </c>
      <c r="J49" s="169">
        <v>27276.489000000001</v>
      </c>
      <c r="K49" s="212">
        <f>26460756.58/1000</f>
        <v>26460.756579999997</v>
      </c>
      <c r="L49" s="169">
        <f t="shared" si="16"/>
        <v>-815.73242000000391</v>
      </c>
      <c r="M49" s="211">
        <f t="shared" si="17"/>
        <v>0.97009393621004503</v>
      </c>
      <c r="N49" s="169">
        <f t="shared" si="19"/>
        <v>40134.654000000002</v>
      </c>
      <c r="O49" s="169">
        <f t="shared" si="20"/>
        <v>36836.133439999998</v>
      </c>
      <c r="P49" s="169">
        <f t="shared" si="21"/>
        <v>-3298.5205600000045</v>
      </c>
      <c r="Q49" s="211">
        <f t="shared" si="18"/>
        <v>0.91781365400583736</v>
      </c>
    </row>
    <row r="50" spans="1:19" s="38" customFormat="1" ht="27" hidden="1" customHeight="1" x14ac:dyDescent="0.35">
      <c r="A50" s="82"/>
      <c r="B50" s="13"/>
      <c r="C50" s="135"/>
      <c r="D50" s="135"/>
      <c r="E50" s="135"/>
      <c r="F50" s="83"/>
      <c r="G50" s="84"/>
      <c r="H50" s="83"/>
      <c r="I50" s="84"/>
      <c r="J50" s="135"/>
      <c r="K50" s="135"/>
      <c r="L50" s="83"/>
      <c r="M50" s="85"/>
      <c r="N50" s="83"/>
      <c r="O50" s="83"/>
      <c r="P50" s="83"/>
      <c r="Q50" s="85"/>
    </row>
    <row r="51" spans="1:19" s="46" customFormat="1" ht="17.399999999999999" x14ac:dyDescent="0.3">
      <c r="A51" s="231" t="s">
        <v>93</v>
      </c>
      <c r="B51" s="232" t="s">
        <v>91</v>
      </c>
      <c r="C51" s="164">
        <f>C42+SUM(C43:C49)+C50</f>
        <v>1729376.41481</v>
      </c>
      <c r="D51" s="164">
        <f>D42+SUM(D43:D49)+D50</f>
        <v>1613287.9178099995</v>
      </c>
      <c r="E51" s="164">
        <f>E42+SUM(E43:E49)+E50</f>
        <v>1422474.3432199997</v>
      </c>
      <c r="F51" s="164">
        <f t="shared" si="0"/>
        <v>-190813.57458999986</v>
      </c>
      <c r="G51" s="233">
        <f t="shared" si="14"/>
        <v>0.88172379369887999</v>
      </c>
      <c r="H51" s="164">
        <f t="shared" si="2"/>
        <v>-306902.0715900003</v>
      </c>
      <c r="I51" s="233">
        <f t="shared" si="15"/>
        <v>0.82253599103020125</v>
      </c>
      <c r="J51" s="164">
        <f>J42+SUM(J43:J49)</f>
        <v>579077.32493</v>
      </c>
      <c r="K51" s="164">
        <f>K42+SUM(K43:K49)</f>
        <v>396700.9728300001</v>
      </c>
      <c r="L51" s="164">
        <f>L42+SUM(L43:L49)</f>
        <v>-182376.35209999996</v>
      </c>
      <c r="M51" s="233">
        <f t="shared" si="17"/>
        <v>0.68505699627930361</v>
      </c>
      <c r="N51" s="164">
        <f t="shared" si="19"/>
        <v>2308453.7397400001</v>
      </c>
      <c r="O51" s="164">
        <f t="shared" si="20"/>
        <v>1819175.3160499998</v>
      </c>
      <c r="P51" s="164">
        <f t="shared" si="21"/>
        <v>-489278.42369000032</v>
      </c>
      <c r="Q51" s="233">
        <f t="shared" si="18"/>
        <v>0.78804928369710048</v>
      </c>
      <c r="R51" s="50"/>
      <c r="S51" s="50"/>
    </row>
    <row r="52" spans="1:19" ht="18" x14ac:dyDescent="0.35">
      <c r="A52" s="235"/>
      <c r="B52" s="236" t="s">
        <v>0</v>
      </c>
      <c r="C52" s="237">
        <f>C53+C54+C55+C56</f>
        <v>0</v>
      </c>
      <c r="D52" s="237">
        <f>D53+D54+D55+D56</f>
        <v>0</v>
      </c>
      <c r="E52" s="237">
        <f>E53+E54+E55+E56</f>
        <v>-133.67704999999998</v>
      </c>
      <c r="F52" s="238">
        <f t="shared" ref="F52:F58" si="22">E52-D52</f>
        <v>-133.67704999999998</v>
      </c>
      <c r="G52" s="205" t="str">
        <f t="shared" si="14"/>
        <v/>
      </c>
      <c r="H52" s="238">
        <f t="shared" ref="H52:H58" si="23">E52-C52</f>
        <v>-133.67704999999998</v>
      </c>
      <c r="I52" s="206" t="str">
        <f t="shared" ref="I52:I58" si="24">IFERROR(E52/C52,"")</f>
        <v/>
      </c>
      <c r="J52" s="237">
        <f>J53+J54+J55+J56+J57</f>
        <v>0</v>
      </c>
      <c r="K52" s="238">
        <f>K53+K54+K55+K56+K57</f>
        <v>-463.15239999999994</v>
      </c>
      <c r="L52" s="238">
        <f t="shared" si="16"/>
        <v>-463.15239999999994</v>
      </c>
      <c r="M52" s="220" t="str">
        <f t="shared" si="17"/>
        <v/>
      </c>
      <c r="N52" s="238">
        <f t="shared" ref="N52:N58" si="25">C52+J52</f>
        <v>0</v>
      </c>
      <c r="O52" s="238">
        <f t="shared" ref="O52:O58" si="26">E52+K52</f>
        <v>-596.82944999999995</v>
      </c>
      <c r="P52" s="238">
        <f t="shared" ref="P52:P58" si="27">O52-N52</f>
        <v>-596.82944999999995</v>
      </c>
      <c r="Q52" s="206" t="str">
        <f t="shared" si="18"/>
        <v/>
      </c>
      <c r="R52" s="2"/>
      <c r="S52" s="2"/>
    </row>
    <row r="53" spans="1:19" ht="17.25" hidden="1" customHeight="1" x14ac:dyDescent="0.35">
      <c r="A53" s="239">
        <v>1140</v>
      </c>
      <c r="B53" s="240" t="s">
        <v>143</v>
      </c>
      <c r="C53" s="241">
        <v>0</v>
      </c>
      <c r="D53" s="241">
        <v>0</v>
      </c>
      <c r="E53" s="241"/>
      <c r="F53" s="242">
        <f t="shared" si="22"/>
        <v>0</v>
      </c>
      <c r="G53" s="218" t="str">
        <f t="shared" si="14"/>
        <v/>
      </c>
      <c r="H53" s="242">
        <f t="shared" si="23"/>
        <v>0</v>
      </c>
      <c r="I53" s="220" t="str">
        <f t="shared" si="24"/>
        <v/>
      </c>
      <c r="J53" s="241"/>
      <c r="K53" s="243"/>
      <c r="L53" s="243">
        <f t="shared" si="16"/>
        <v>0</v>
      </c>
      <c r="M53" s="220" t="str">
        <f t="shared" si="17"/>
        <v/>
      </c>
      <c r="N53" s="242">
        <f t="shared" si="25"/>
        <v>0</v>
      </c>
      <c r="O53" s="242">
        <f t="shared" si="26"/>
        <v>0</v>
      </c>
      <c r="P53" s="242">
        <f t="shared" si="27"/>
        <v>0</v>
      </c>
      <c r="Q53" s="220" t="str">
        <f t="shared" si="18"/>
        <v/>
      </c>
      <c r="R53" s="2"/>
      <c r="S53" s="2"/>
    </row>
    <row r="54" spans="1:19" ht="27" customHeight="1" x14ac:dyDescent="0.35">
      <c r="A54" s="258">
        <v>4110</v>
      </c>
      <c r="B54" s="234" t="s">
        <v>219</v>
      </c>
      <c r="C54" s="256">
        <v>0</v>
      </c>
      <c r="D54" s="256"/>
      <c r="E54" s="256"/>
      <c r="F54" s="257">
        <f>E54-D54</f>
        <v>0</v>
      </c>
      <c r="G54" s="209" t="str">
        <f t="shared" si="14"/>
        <v/>
      </c>
      <c r="H54" s="257">
        <f>E54-C54</f>
        <v>0</v>
      </c>
      <c r="I54" s="211" t="str">
        <f t="shared" si="24"/>
        <v/>
      </c>
      <c r="J54" s="256">
        <v>1500</v>
      </c>
      <c r="K54" s="256">
        <v>1125</v>
      </c>
      <c r="L54" s="257">
        <f t="shared" si="16"/>
        <v>-375</v>
      </c>
      <c r="M54" s="211">
        <f t="shared" si="17"/>
        <v>0.75</v>
      </c>
      <c r="N54" s="257">
        <f>C54+J54</f>
        <v>1500</v>
      </c>
      <c r="O54" s="257">
        <f>E54+K54</f>
        <v>1125</v>
      </c>
      <c r="P54" s="257">
        <f t="shared" si="27"/>
        <v>-375</v>
      </c>
      <c r="Q54" s="211">
        <f t="shared" si="18"/>
        <v>0.75</v>
      </c>
      <c r="R54" s="2"/>
      <c r="S54" s="2"/>
    </row>
    <row r="55" spans="1:19" ht="30.75" customHeight="1" x14ac:dyDescent="0.35">
      <c r="A55" s="258">
        <v>4120</v>
      </c>
      <c r="B55" s="234" t="s">
        <v>220</v>
      </c>
      <c r="C55" s="241"/>
      <c r="D55" s="256">
        <v>0</v>
      </c>
      <c r="E55" s="256">
        <v>-133.67704999999998</v>
      </c>
      <c r="F55" s="257">
        <f>E55-D55</f>
        <v>-133.67704999999998</v>
      </c>
      <c r="G55" s="209" t="str">
        <f t="shared" si="14"/>
        <v/>
      </c>
      <c r="H55" s="257">
        <f>E55-C55</f>
        <v>-133.67704999999998</v>
      </c>
      <c r="I55" s="211" t="str">
        <f t="shared" si="24"/>
        <v/>
      </c>
      <c r="J55" s="256">
        <v>-1500</v>
      </c>
      <c r="K55" s="256">
        <v>-1588.1523999999999</v>
      </c>
      <c r="L55" s="257">
        <f t="shared" si="16"/>
        <v>-88.152399999999943</v>
      </c>
      <c r="M55" s="211">
        <f t="shared" si="17"/>
        <v>1.0587682666666667</v>
      </c>
      <c r="N55" s="257">
        <f t="shared" si="25"/>
        <v>-1500</v>
      </c>
      <c r="O55" s="257">
        <f t="shared" si="26"/>
        <v>-1721.82945</v>
      </c>
      <c r="P55" s="257">
        <f t="shared" si="27"/>
        <v>-221.82944999999995</v>
      </c>
      <c r="Q55" s="211">
        <f t="shared" si="18"/>
        <v>1.1478862999999999</v>
      </c>
      <c r="R55" s="2"/>
      <c r="S55" s="2"/>
    </row>
    <row r="56" spans="1:19" ht="62.4" hidden="1" x14ac:dyDescent="0.35">
      <c r="A56" s="244">
        <v>8880</v>
      </c>
      <c r="B56" s="240" t="s">
        <v>144</v>
      </c>
      <c r="C56" s="241">
        <v>0</v>
      </c>
      <c r="D56" s="241">
        <v>0</v>
      </c>
      <c r="E56" s="241">
        <v>0</v>
      </c>
      <c r="F56" s="242">
        <f t="shared" si="22"/>
        <v>0</v>
      </c>
      <c r="G56" s="171"/>
      <c r="H56" s="242">
        <f t="shared" si="23"/>
        <v>0</v>
      </c>
      <c r="I56" s="233" t="str">
        <f t="shared" si="24"/>
        <v/>
      </c>
      <c r="J56" s="241">
        <v>0</v>
      </c>
      <c r="K56" s="241">
        <v>0</v>
      </c>
      <c r="L56" s="242">
        <f t="shared" si="16"/>
        <v>0</v>
      </c>
      <c r="M56" s="233" t="str">
        <f t="shared" si="17"/>
        <v/>
      </c>
      <c r="N56" s="242">
        <f t="shared" si="25"/>
        <v>0</v>
      </c>
      <c r="O56" s="242">
        <f t="shared" si="26"/>
        <v>0</v>
      </c>
      <c r="P56" s="242">
        <f t="shared" si="27"/>
        <v>0</v>
      </c>
      <c r="Q56" s="233" t="str">
        <f t="shared" si="18"/>
        <v/>
      </c>
      <c r="R56" s="2"/>
      <c r="S56" s="2"/>
    </row>
    <row r="57" spans="1:19" ht="18" hidden="1" x14ac:dyDescent="0.35">
      <c r="A57" s="244">
        <v>8860</v>
      </c>
      <c r="B57" s="240" t="s">
        <v>159</v>
      </c>
      <c r="C57" s="241">
        <v>0</v>
      </c>
      <c r="D57" s="241">
        <v>0</v>
      </c>
      <c r="E57" s="241">
        <v>0</v>
      </c>
      <c r="F57" s="242"/>
      <c r="G57" s="171"/>
      <c r="H57" s="242"/>
      <c r="I57" s="233" t="str">
        <f t="shared" si="24"/>
        <v/>
      </c>
      <c r="J57" s="241">
        <v>0</v>
      </c>
      <c r="K57" s="241">
        <v>0</v>
      </c>
      <c r="L57" s="242">
        <f t="shared" si="16"/>
        <v>0</v>
      </c>
      <c r="M57" s="233" t="str">
        <f t="shared" si="17"/>
        <v/>
      </c>
      <c r="N57" s="242"/>
      <c r="O57" s="242"/>
      <c r="P57" s="242"/>
      <c r="Q57" s="233" t="str">
        <f t="shared" si="18"/>
        <v/>
      </c>
      <c r="R57" s="2"/>
      <c r="S57" s="2"/>
    </row>
    <row r="58" spans="1:19" s="46" customFormat="1" ht="17.399999999999999" x14ac:dyDescent="0.3">
      <c r="A58" s="231"/>
      <c r="B58" s="232" t="s">
        <v>1</v>
      </c>
      <c r="C58" s="164">
        <f>C51+C52</f>
        <v>1729376.41481</v>
      </c>
      <c r="D58" s="164">
        <f>D51+D52</f>
        <v>1613287.9178099995</v>
      </c>
      <c r="E58" s="164">
        <f>E51+E52</f>
        <v>1422340.6661699996</v>
      </c>
      <c r="F58" s="164">
        <f t="shared" si="22"/>
        <v>-190947.25163999991</v>
      </c>
      <c r="G58" s="233">
        <f>IFERROR(E58/D58,"")</f>
        <v>0.88164093369074115</v>
      </c>
      <c r="H58" s="164">
        <f t="shared" si="23"/>
        <v>-307035.74864000035</v>
      </c>
      <c r="I58" s="233">
        <f t="shared" si="24"/>
        <v>0.82245869319679998</v>
      </c>
      <c r="J58" s="164">
        <f>J51+J52</f>
        <v>579077.32493</v>
      </c>
      <c r="K58" s="164">
        <f>K51+K52</f>
        <v>396237.82043000008</v>
      </c>
      <c r="L58" s="164">
        <f t="shared" si="16"/>
        <v>-182839.50449999992</v>
      </c>
      <c r="M58" s="233">
        <f t="shared" si="17"/>
        <v>0.68425718530404911</v>
      </c>
      <c r="N58" s="164">
        <f t="shared" si="25"/>
        <v>2308453.7397400001</v>
      </c>
      <c r="O58" s="164">
        <f t="shared" si="26"/>
        <v>1818578.4865999997</v>
      </c>
      <c r="P58" s="164">
        <f t="shared" si="27"/>
        <v>-489875.25314000039</v>
      </c>
      <c r="Q58" s="233">
        <f t="shared" si="18"/>
        <v>0.7877907429086386</v>
      </c>
    </row>
    <row r="59" spans="1:19" x14ac:dyDescent="0.3">
      <c r="A59" s="36"/>
      <c r="B59" s="37"/>
      <c r="C59" s="136"/>
      <c r="D59" s="253"/>
      <c r="E59" s="136"/>
      <c r="F59" s="101"/>
      <c r="G59" s="101"/>
      <c r="H59" s="105"/>
      <c r="I59" s="106"/>
      <c r="J59" s="126"/>
      <c r="K59" s="125"/>
      <c r="M59" s="38"/>
    </row>
    <row r="60" spans="1:19" x14ac:dyDescent="0.3">
      <c r="A60" s="39"/>
      <c r="B60" s="22"/>
      <c r="C60" s="137"/>
      <c r="D60" s="126"/>
      <c r="E60" s="137"/>
      <c r="F60" s="105"/>
      <c r="G60" s="105"/>
      <c r="H60" s="105"/>
      <c r="I60" s="106"/>
      <c r="J60" s="125"/>
      <c r="K60" s="126" t="s">
        <v>21</v>
      </c>
      <c r="M60" s="38"/>
    </row>
    <row r="61" spans="1:19" x14ac:dyDescent="0.3">
      <c r="A61" s="40"/>
      <c r="B61" s="41"/>
      <c r="C61" s="138"/>
      <c r="D61" s="254"/>
      <c r="E61" s="138"/>
      <c r="F61" s="39"/>
      <c r="G61" s="39"/>
      <c r="H61" s="103"/>
      <c r="I61" s="104"/>
      <c r="J61" s="118"/>
      <c r="K61" s="121"/>
      <c r="M61" s="38"/>
    </row>
    <row r="62" spans="1:19" x14ac:dyDescent="0.3">
      <c r="A62" s="40"/>
      <c r="B62" s="41"/>
      <c r="C62" s="139"/>
      <c r="D62" s="134"/>
      <c r="E62" s="140"/>
      <c r="F62" s="103"/>
      <c r="G62" s="103"/>
      <c r="H62" s="103"/>
      <c r="I62" s="104"/>
      <c r="J62" s="122"/>
      <c r="K62" s="122"/>
      <c r="M62" s="38"/>
    </row>
    <row r="63" spans="1:19" ht="17.399999999999999" x14ac:dyDescent="0.3">
      <c r="A63" s="40"/>
      <c r="B63" s="60"/>
      <c r="C63" s="141"/>
      <c r="D63" s="142"/>
      <c r="E63" s="143"/>
      <c r="F63" s="103"/>
      <c r="G63" s="103"/>
      <c r="H63" s="103"/>
      <c r="I63" s="104"/>
      <c r="J63" s="127"/>
      <c r="K63" s="122"/>
      <c r="M63" s="38"/>
    </row>
    <row r="64" spans="1:19" x14ac:dyDescent="0.3">
      <c r="A64" s="40"/>
      <c r="B64" s="41"/>
      <c r="C64" s="139"/>
      <c r="D64" s="134"/>
      <c r="E64" s="140"/>
      <c r="F64" s="103"/>
      <c r="G64" s="103"/>
      <c r="H64" s="103"/>
      <c r="I64" s="104"/>
      <c r="J64" s="122"/>
      <c r="K64" s="122"/>
      <c r="M64" s="38"/>
    </row>
    <row r="65" spans="1:13" x14ac:dyDescent="0.3">
      <c r="A65" s="40"/>
      <c r="B65" s="41"/>
      <c r="C65" s="139"/>
      <c r="D65" s="134"/>
      <c r="E65" s="140"/>
      <c r="F65" s="103"/>
      <c r="G65" s="103"/>
      <c r="H65" s="103"/>
      <c r="I65" s="102"/>
      <c r="J65" s="119"/>
      <c r="K65" s="122"/>
      <c r="L65" s="56"/>
      <c r="M65" s="57"/>
    </row>
    <row r="66" spans="1:13" x14ac:dyDescent="0.3">
      <c r="A66" s="40"/>
      <c r="B66" s="41"/>
      <c r="C66" s="139"/>
      <c r="D66" s="134"/>
      <c r="E66" s="140"/>
      <c r="F66" s="103"/>
      <c r="G66" s="103"/>
      <c r="H66" s="103"/>
      <c r="I66" s="104"/>
      <c r="J66" s="119"/>
      <c r="K66" s="122"/>
      <c r="M66" s="38"/>
    </row>
    <row r="67" spans="1:13" x14ac:dyDescent="0.3">
      <c r="A67" s="42"/>
      <c r="B67" s="43"/>
      <c r="C67" s="144"/>
      <c r="D67" s="120"/>
      <c r="E67" s="145"/>
      <c r="F67" s="98"/>
      <c r="G67" s="98"/>
      <c r="H67" s="98"/>
      <c r="M67" s="38"/>
    </row>
    <row r="68" spans="1:13" x14ac:dyDescent="0.3">
      <c r="A68" s="42"/>
      <c r="B68" s="43"/>
      <c r="C68" s="144"/>
      <c r="D68" s="120"/>
      <c r="E68" s="145"/>
      <c r="F68" s="98"/>
      <c r="G68" s="98"/>
      <c r="H68" s="98"/>
      <c r="M68" s="38"/>
    </row>
    <row r="69" spans="1:13" x14ac:dyDescent="0.3">
      <c r="A69" s="42"/>
      <c r="B69" s="43"/>
      <c r="C69" s="144"/>
      <c r="D69" s="120"/>
      <c r="E69" s="145"/>
      <c r="F69" s="98"/>
      <c r="G69" s="98"/>
      <c r="H69" s="98"/>
      <c r="M69" s="38"/>
    </row>
    <row r="70" spans="1:13" x14ac:dyDescent="0.3">
      <c r="M70" s="38"/>
    </row>
    <row r="71" spans="1:13" x14ac:dyDescent="0.3">
      <c r="M71" s="38"/>
    </row>
    <row r="72" spans="1:13" x14ac:dyDescent="0.3">
      <c r="M72" s="38"/>
    </row>
    <row r="73" spans="1:13" x14ac:dyDescent="0.3">
      <c r="M73" s="38"/>
    </row>
    <row r="74" spans="1:13" x14ac:dyDescent="0.3">
      <c r="M74" s="38"/>
    </row>
    <row r="75" spans="1:13" x14ac:dyDescent="0.3">
      <c r="M75" s="38"/>
    </row>
    <row r="76" spans="1:13" x14ac:dyDescent="0.3">
      <c r="M76" s="38"/>
    </row>
    <row r="77" spans="1:13" x14ac:dyDescent="0.3">
      <c r="M77" s="38"/>
    </row>
    <row r="78" spans="1:13" x14ac:dyDescent="0.3">
      <c r="M78" s="38"/>
    </row>
    <row r="79" spans="1:13" x14ac:dyDescent="0.3">
      <c r="M79" s="38"/>
    </row>
    <row r="80" spans="1:13" x14ac:dyDescent="0.3">
      <c r="M80" s="38"/>
    </row>
    <row r="81" spans="13:13" x14ac:dyDescent="0.3">
      <c r="M81" s="38"/>
    </row>
    <row r="82" spans="13:13" x14ac:dyDescent="0.3">
      <c r="M82" s="38"/>
    </row>
    <row r="83" spans="13:13" x14ac:dyDescent="0.3">
      <c r="M83" s="38"/>
    </row>
    <row r="84" spans="13:13" x14ac:dyDescent="0.3">
      <c r="M84" s="38"/>
    </row>
    <row r="85" spans="13:13" x14ac:dyDescent="0.3">
      <c r="M85" s="38"/>
    </row>
    <row r="86" spans="13:13" x14ac:dyDescent="0.3">
      <c r="M86" s="38"/>
    </row>
    <row r="87" spans="13:13" x14ac:dyDescent="0.3">
      <c r="M87" s="38"/>
    </row>
    <row r="88" spans="13:13" x14ac:dyDescent="0.3">
      <c r="M88" s="38"/>
    </row>
    <row r="89" spans="13:13" x14ac:dyDescent="0.3">
      <c r="M89" s="38"/>
    </row>
    <row r="90" spans="13:13" x14ac:dyDescent="0.3">
      <c r="M90" s="38"/>
    </row>
    <row r="91" spans="13:13" x14ac:dyDescent="0.3">
      <c r="M91" s="38"/>
    </row>
    <row r="92" spans="13:13" x14ac:dyDescent="0.3">
      <c r="M92" s="38"/>
    </row>
    <row r="93" spans="13:13" x14ac:dyDescent="0.3">
      <c r="M93" s="38"/>
    </row>
    <row r="94" spans="13:13" x14ac:dyDescent="0.3">
      <c r="M94" s="38"/>
    </row>
    <row r="95" spans="13:13" x14ac:dyDescent="0.3">
      <c r="M95" s="38"/>
    </row>
    <row r="96" spans="13:13" x14ac:dyDescent="0.3">
      <c r="M96" s="38"/>
    </row>
    <row r="97" spans="13:13" x14ac:dyDescent="0.3">
      <c r="M97" s="38"/>
    </row>
    <row r="98" spans="13:13" x14ac:dyDescent="0.3">
      <c r="M98" s="38"/>
    </row>
    <row r="99" spans="13:13" x14ac:dyDescent="0.3">
      <c r="M99" s="38"/>
    </row>
    <row r="100" spans="13:13" x14ac:dyDescent="0.3">
      <c r="M100" s="38"/>
    </row>
    <row r="101" spans="13:13" x14ac:dyDescent="0.3">
      <c r="M101" s="38"/>
    </row>
    <row r="102" spans="13:13" x14ac:dyDescent="0.3">
      <c r="M102" s="38"/>
    </row>
    <row r="103" spans="13:13" x14ac:dyDescent="0.3">
      <c r="M103" s="38"/>
    </row>
    <row r="104" spans="13:13" x14ac:dyDescent="0.3">
      <c r="M104" s="38"/>
    </row>
    <row r="105" spans="13:13" x14ac:dyDescent="0.3">
      <c r="M105" s="38"/>
    </row>
    <row r="106" spans="13:13" x14ac:dyDescent="0.3">
      <c r="M106" s="38"/>
    </row>
    <row r="107" spans="13:13" x14ac:dyDescent="0.3">
      <c r="M107" s="38"/>
    </row>
    <row r="108" spans="13:13" x14ac:dyDescent="0.3">
      <c r="M108" s="38"/>
    </row>
    <row r="109" spans="13:13" x14ac:dyDescent="0.3">
      <c r="M109" s="38"/>
    </row>
    <row r="110" spans="13:13" x14ac:dyDescent="0.3">
      <c r="M110" s="38"/>
    </row>
    <row r="111" spans="13:13" x14ac:dyDescent="0.3">
      <c r="M111" s="38"/>
    </row>
    <row r="112" spans="13:13" x14ac:dyDescent="0.3">
      <c r="M112" s="38"/>
    </row>
    <row r="113" spans="13:13" x14ac:dyDescent="0.3">
      <c r="M113" s="38"/>
    </row>
    <row r="114" spans="13:13" x14ac:dyDescent="0.3">
      <c r="M114" s="38"/>
    </row>
    <row r="115" spans="13:13" x14ac:dyDescent="0.3">
      <c r="M115" s="38"/>
    </row>
    <row r="116" spans="13:13" x14ac:dyDescent="0.3">
      <c r="M116" s="38"/>
    </row>
    <row r="117" spans="13:13" x14ac:dyDescent="0.3">
      <c r="M117" s="38"/>
    </row>
    <row r="118" spans="13:13" x14ac:dyDescent="0.3">
      <c r="M118" s="38"/>
    </row>
    <row r="119" spans="13:13" x14ac:dyDescent="0.3">
      <c r="M119" s="38"/>
    </row>
    <row r="120" spans="13:13" x14ac:dyDescent="0.3">
      <c r="M120" s="38"/>
    </row>
    <row r="121" spans="13:13" x14ac:dyDescent="0.3">
      <c r="M121" s="38"/>
    </row>
    <row r="122" spans="13:13" x14ac:dyDescent="0.3">
      <c r="M122" s="38"/>
    </row>
    <row r="123" spans="13:13" x14ac:dyDescent="0.3">
      <c r="M123" s="38"/>
    </row>
    <row r="124" spans="13:13" x14ac:dyDescent="0.3">
      <c r="M124" s="38"/>
    </row>
    <row r="125" spans="13:13" x14ac:dyDescent="0.3">
      <c r="M125" s="38"/>
    </row>
    <row r="126" spans="13:13" x14ac:dyDescent="0.3">
      <c r="M126" s="38"/>
    </row>
    <row r="127" spans="13:13" x14ac:dyDescent="0.3">
      <c r="M127" s="38"/>
    </row>
    <row r="128" spans="13:13" x14ac:dyDescent="0.3">
      <c r="M128" s="38"/>
    </row>
    <row r="129" spans="13:13" x14ac:dyDescent="0.3">
      <c r="M129" s="38"/>
    </row>
    <row r="130" spans="13:13" x14ac:dyDescent="0.3">
      <c r="M130" s="38"/>
    </row>
    <row r="131" spans="13:13" x14ac:dyDescent="0.3">
      <c r="M131" s="38"/>
    </row>
    <row r="132" spans="13:13" x14ac:dyDescent="0.3">
      <c r="M132" s="38"/>
    </row>
    <row r="133" spans="13:13" x14ac:dyDescent="0.3">
      <c r="M133" s="38"/>
    </row>
    <row r="134" spans="13:13" x14ac:dyDescent="0.3">
      <c r="M134" s="38"/>
    </row>
    <row r="135" spans="13:13" x14ac:dyDescent="0.3">
      <c r="M135" s="38"/>
    </row>
    <row r="136" spans="13:13" x14ac:dyDescent="0.3">
      <c r="M136" s="38"/>
    </row>
    <row r="137" spans="13:13" x14ac:dyDescent="0.3">
      <c r="M137" s="38"/>
    </row>
    <row r="138" spans="13:13" x14ac:dyDescent="0.3">
      <c r="M138" s="38"/>
    </row>
    <row r="139" spans="13:13" x14ac:dyDescent="0.3">
      <c r="M139" s="38"/>
    </row>
    <row r="140" spans="13:13" x14ac:dyDescent="0.3">
      <c r="M140" s="38"/>
    </row>
    <row r="141" spans="13:13" x14ac:dyDescent="0.3">
      <c r="M141" s="38"/>
    </row>
    <row r="142" spans="13:13" x14ac:dyDescent="0.3">
      <c r="M142" s="38"/>
    </row>
    <row r="143" spans="13:13" x14ac:dyDescent="0.3">
      <c r="M143" s="38"/>
    </row>
    <row r="144" spans="13:13" x14ac:dyDescent="0.3">
      <c r="M144" s="38"/>
    </row>
    <row r="145" spans="13:13" x14ac:dyDescent="0.3">
      <c r="M145" s="38"/>
    </row>
    <row r="146" spans="13:13" x14ac:dyDescent="0.3">
      <c r="M146" s="38"/>
    </row>
    <row r="147" spans="13:13" x14ac:dyDescent="0.3">
      <c r="M147" s="38"/>
    </row>
    <row r="148" spans="13:13" x14ac:dyDescent="0.3">
      <c r="M148" s="38"/>
    </row>
    <row r="149" spans="13:13" x14ac:dyDescent="0.3">
      <c r="M149" s="38"/>
    </row>
    <row r="150" spans="13:13" x14ac:dyDescent="0.3">
      <c r="M150" s="38"/>
    </row>
    <row r="151" spans="13:13" x14ac:dyDescent="0.3">
      <c r="M151" s="38"/>
    </row>
    <row r="152" spans="13:13" x14ac:dyDescent="0.3">
      <c r="M152" s="38"/>
    </row>
    <row r="153" spans="13:13" x14ac:dyDescent="0.3">
      <c r="M153" s="38"/>
    </row>
    <row r="154" spans="13:13" x14ac:dyDescent="0.3">
      <c r="M154" s="38"/>
    </row>
    <row r="155" spans="13:13" x14ac:dyDescent="0.3">
      <c r="M155" s="38"/>
    </row>
    <row r="156" spans="13:13" x14ac:dyDescent="0.3">
      <c r="M156" s="38"/>
    </row>
    <row r="157" spans="13:13" x14ac:dyDescent="0.3">
      <c r="M157" s="38"/>
    </row>
    <row r="158" spans="13:13" x14ac:dyDescent="0.3">
      <c r="M158" s="38"/>
    </row>
    <row r="159" spans="13:13" x14ac:dyDescent="0.3">
      <c r="M159" s="38"/>
    </row>
    <row r="160" spans="13:13" x14ac:dyDescent="0.3">
      <c r="M160" s="38"/>
    </row>
    <row r="161" spans="13:13" x14ac:dyDescent="0.3">
      <c r="M161" s="38"/>
    </row>
    <row r="162" spans="13:13" x14ac:dyDescent="0.3">
      <c r="M162" s="38"/>
    </row>
    <row r="163" spans="13:13" x14ac:dyDescent="0.3">
      <c r="M163" s="38"/>
    </row>
    <row r="164" spans="13:13" x14ac:dyDescent="0.3">
      <c r="M164" s="38"/>
    </row>
    <row r="165" spans="13:13" x14ac:dyDescent="0.3">
      <c r="M165" s="38"/>
    </row>
    <row r="166" spans="13:13" x14ac:dyDescent="0.3">
      <c r="M166" s="38"/>
    </row>
    <row r="167" spans="13:13" x14ac:dyDescent="0.3">
      <c r="M167" s="38"/>
    </row>
    <row r="168" spans="13:13" x14ac:dyDescent="0.3">
      <c r="M168" s="38"/>
    </row>
    <row r="169" spans="13:13" x14ac:dyDescent="0.3">
      <c r="M169" s="38"/>
    </row>
    <row r="170" spans="13:13" x14ac:dyDescent="0.3">
      <c r="M170" s="38"/>
    </row>
    <row r="171" spans="13:13" x14ac:dyDescent="0.3">
      <c r="M171" s="38"/>
    </row>
    <row r="172" spans="13:13" x14ac:dyDescent="0.3">
      <c r="M172" s="38"/>
    </row>
    <row r="173" spans="13:13" x14ac:dyDescent="0.3">
      <c r="M173" s="38"/>
    </row>
    <row r="174" spans="13:13" x14ac:dyDescent="0.3">
      <c r="M174" s="38"/>
    </row>
    <row r="175" spans="13:13" x14ac:dyDescent="0.3">
      <c r="M175" s="38"/>
    </row>
    <row r="176" spans="13:13" x14ac:dyDescent="0.3">
      <c r="M176" s="38"/>
    </row>
    <row r="177" spans="13:13" x14ac:dyDescent="0.3">
      <c r="M177" s="38"/>
    </row>
    <row r="178" spans="13:13" x14ac:dyDescent="0.3">
      <c r="M178" s="38"/>
    </row>
    <row r="179" spans="13:13" x14ac:dyDescent="0.3">
      <c r="M179" s="38"/>
    </row>
    <row r="180" spans="13:13" x14ac:dyDescent="0.3">
      <c r="M180" s="38"/>
    </row>
    <row r="181" spans="13:13" x14ac:dyDescent="0.3">
      <c r="M181" s="38"/>
    </row>
    <row r="182" spans="13:13" x14ac:dyDescent="0.3">
      <c r="M182" s="38"/>
    </row>
    <row r="183" spans="13:13" x14ac:dyDescent="0.3">
      <c r="M183" s="38"/>
    </row>
    <row r="184" spans="13:13" x14ac:dyDescent="0.3">
      <c r="M184" s="38"/>
    </row>
    <row r="185" spans="13:13" x14ac:dyDescent="0.3">
      <c r="M185" s="38"/>
    </row>
    <row r="186" spans="13:13" x14ac:dyDescent="0.3">
      <c r="M186" s="38"/>
    </row>
    <row r="187" spans="13:13" x14ac:dyDescent="0.3">
      <c r="M187" s="38"/>
    </row>
    <row r="188" spans="13:13" x14ac:dyDescent="0.3">
      <c r="M188" s="38"/>
    </row>
    <row r="189" spans="13:13" x14ac:dyDescent="0.3">
      <c r="M189" s="38"/>
    </row>
    <row r="190" spans="13:13" x14ac:dyDescent="0.3">
      <c r="M190" s="38"/>
    </row>
    <row r="191" spans="13:13" x14ac:dyDescent="0.3">
      <c r="M191" s="38"/>
    </row>
    <row r="192" spans="13:13" x14ac:dyDescent="0.3">
      <c r="M192" s="38"/>
    </row>
    <row r="193" spans="13:13" x14ac:dyDescent="0.3">
      <c r="M193" s="38"/>
    </row>
    <row r="194" spans="13:13" x14ac:dyDescent="0.3">
      <c r="M194" s="38"/>
    </row>
    <row r="195" spans="13:13" x14ac:dyDescent="0.3">
      <c r="M195" s="38"/>
    </row>
    <row r="196" spans="13:13" x14ac:dyDescent="0.3">
      <c r="M196" s="38"/>
    </row>
    <row r="197" spans="13:13" x14ac:dyDescent="0.3">
      <c r="M197" s="38"/>
    </row>
    <row r="198" spans="13:13" x14ac:dyDescent="0.3">
      <c r="M198" s="38"/>
    </row>
    <row r="199" spans="13:13" x14ac:dyDescent="0.3">
      <c r="M199" s="38"/>
    </row>
    <row r="200" spans="13:13" x14ac:dyDescent="0.3">
      <c r="M200" s="38"/>
    </row>
    <row r="201" spans="13:13" x14ac:dyDescent="0.3">
      <c r="M201" s="38"/>
    </row>
    <row r="202" spans="13:13" x14ac:dyDescent="0.3">
      <c r="M202" s="38"/>
    </row>
    <row r="203" spans="13:13" x14ac:dyDescent="0.3">
      <c r="M203" s="38"/>
    </row>
    <row r="204" spans="13:13" x14ac:dyDescent="0.3">
      <c r="M204" s="38"/>
    </row>
    <row r="205" spans="13:13" x14ac:dyDescent="0.3">
      <c r="M205" s="38"/>
    </row>
    <row r="206" spans="13:13" x14ac:dyDescent="0.3">
      <c r="M206" s="38"/>
    </row>
    <row r="207" spans="13:13" x14ac:dyDescent="0.3">
      <c r="M207" s="38"/>
    </row>
    <row r="208" spans="13:13" x14ac:dyDescent="0.3">
      <c r="M208" s="38"/>
    </row>
    <row r="209" spans="13:13" x14ac:dyDescent="0.3">
      <c r="M209" s="38"/>
    </row>
    <row r="210" spans="13:13" x14ac:dyDescent="0.3">
      <c r="M210" s="38"/>
    </row>
    <row r="211" spans="13:13" x14ac:dyDescent="0.3">
      <c r="M211" s="38"/>
    </row>
    <row r="212" spans="13:13" x14ac:dyDescent="0.3">
      <c r="M212" s="38"/>
    </row>
    <row r="213" spans="13:13" x14ac:dyDescent="0.3">
      <c r="M213" s="38"/>
    </row>
    <row r="214" spans="13:13" x14ac:dyDescent="0.3">
      <c r="M214" s="38"/>
    </row>
    <row r="215" spans="13:13" x14ac:dyDescent="0.3">
      <c r="M215" s="38"/>
    </row>
    <row r="216" spans="13:13" x14ac:dyDescent="0.3">
      <c r="M216" s="38"/>
    </row>
    <row r="217" spans="13:13" x14ac:dyDescent="0.3">
      <c r="M217" s="38"/>
    </row>
    <row r="218" spans="13:13" x14ac:dyDescent="0.3">
      <c r="M218" s="38"/>
    </row>
    <row r="219" spans="13:13" x14ac:dyDescent="0.3">
      <c r="M219" s="38"/>
    </row>
    <row r="220" spans="13:13" x14ac:dyDescent="0.3">
      <c r="M220" s="38"/>
    </row>
    <row r="221" spans="13:13" x14ac:dyDescent="0.3">
      <c r="M221" s="38"/>
    </row>
    <row r="222" spans="13:13" x14ac:dyDescent="0.3">
      <c r="M222" s="38"/>
    </row>
    <row r="223" spans="13:13" x14ac:dyDescent="0.3">
      <c r="M223" s="38"/>
    </row>
    <row r="224" spans="13:13" x14ac:dyDescent="0.3">
      <c r="M224" s="38"/>
    </row>
    <row r="225" spans="13:13" x14ac:dyDescent="0.3">
      <c r="M225" s="38"/>
    </row>
    <row r="226" spans="13:13" x14ac:dyDescent="0.3">
      <c r="M226" s="38"/>
    </row>
    <row r="227" spans="13:13" x14ac:dyDescent="0.3">
      <c r="M227" s="38"/>
    </row>
    <row r="228" spans="13:13" x14ac:dyDescent="0.3">
      <c r="M228" s="38"/>
    </row>
    <row r="229" spans="13:13" x14ac:dyDescent="0.3">
      <c r="M229" s="38"/>
    </row>
    <row r="230" spans="13:13" x14ac:dyDescent="0.3">
      <c r="M230" s="38"/>
    </row>
    <row r="231" spans="13:13" x14ac:dyDescent="0.3">
      <c r="M231" s="38"/>
    </row>
    <row r="232" spans="13:13" x14ac:dyDescent="0.3">
      <c r="M232" s="38"/>
    </row>
    <row r="233" spans="13:13" x14ac:dyDescent="0.3">
      <c r="M233" s="38"/>
    </row>
    <row r="234" spans="13:13" x14ac:dyDescent="0.3">
      <c r="M234" s="38"/>
    </row>
    <row r="235" spans="13:13" x14ac:dyDescent="0.3">
      <c r="M235" s="38"/>
    </row>
    <row r="236" spans="13:13" x14ac:dyDescent="0.3">
      <c r="M236" s="38"/>
    </row>
    <row r="237" spans="13:13" x14ac:dyDescent="0.3">
      <c r="M237" s="38"/>
    </row>
    <row r="238" spans="13:13" x14ac:dyDescent="0.3">
      <c r="M238" s="38"/>
    </row>
    <row r="239" spans="13:13" x14ac:dyDescent="0.3">
      <c r="M239" s="38"/>
    </row>
    <row r="240" spans="13:13" x14ac:dyDescent="0.3">
      <c r="M240" s="38"/>
    </row>
    <row r="241" spans="13:13" x14ac:dyDescent="0.3">
      <c r="M241" s="38"/>
    </row>
    <row r="242" spans="13:13" x14ac:dyDescent="0.3">
      <c r="M242" s="38"/>
    </row>
    <row r="243" spans="13:13" x14ac:dyDescent="0.3">
      <c r="M243" s="38"/>
    </row>
    <row r="244" spans="13:13" x14ac:dyDescent="0.3">
      <c r="M244" s="38"/>
    </row>
    <row r="245" spans="13:13" x14ac:dyDescent="0.3">
      <c r="M245" s="38"/>
    </row>
    <row r="246" spans="13:13" x14ac:dyDescent="0.3">
      <c r="M246" s="38"/>
    </row>
    <row r="247" spans="13:13" x14ac:dyDescent="0.3">
      <c r="M247" s="38"/>
    </row>
    <row r="248" spans="13:13" x14ac:dyDescent="0.3">
      <c r="M248" s="38"/>
    </row>
    <row r="249" spans="13:13" x14ac:dyDescent="0.3">
      <c r="M249" s="38"/>
    </row>
    <row r="250" spans="13:13" x14ac:dyDescent="0.3">
      <c r="M250" s="38"/>
    </row>
    <row r="251" spans="13:13" x14ac:dyDescent="0.3">
      <c r="M251" s="38"/>
    </row>
    <row r="252" spans="13:13" x14ac:dyDescent="0.3">
      <c r="M252" s="38"/>
    </row>
    <row r="253" spans="13:13" x14ac:dyDescent="0.3">
      <c r="M253" s="38"/>
    </row>
    <row r="254" spans="13:13" x14ac:dyDescent="0.3">
      <c r="M254" s="38"/>
    </row>
    <row r="255" spans="13:13" x14ac:dyDescent="0.3">
      <c r="M255" s="38"/>
    </row>
    <row r="256" spans="13:13" x14ac:dyDescent="0.3">
      <c r="M256" s="38"/>
    </row>
    <row r="257" spans="13:13" x14ac:dyDescent="0.3">
      <c r="M257" s="38"/>
    </row>
    <row r="258" spans="13:13" x14ac:dyDescent="0.3">
      <c r="M258" s="38"/>
    </row>
    <row r="259" spans="13:13" x14ac:dyDescent="0.3">
      <c r="M259" s="38"/>
    </row>
    <row r="260" spans="13:13" x14ac:dyDescent="0.3">
      <c r="M260" s="38"/>
    </row>
    <row r="261" spans="13:13" x14ac:dyDescent="0.3">
      <c r="M261" s="38"/>
    </row>
    <row r="262" spans="13:13" x14ac:dyDescent="0.3">
      <c r="M262" s="38"/>
    </row>
    <row r="263" spans="13:13" x14ac:dyDescent="0.3">
      <c r="M263" s="38"/>
    </row>
    <row r="264" spans="13:13" x14ac:dyDescent="0.3">
      <c r="M264" s="38"/>
    </row>
    <row r="265" spans="13:13" x14ac:dyDescent="0.3">
      <c r="M265" s="38"/>
    </row>
    <row r="266" spans="13:13" x14ac:dyDescent="0.3">
      <c r="M266" s="38"/>
    </row>
    <row r="267" spans="13:13" x14ac:dyDescent="0.3">
      <c r="M267" s="38"/>
    </row>
    <row r="268" spans="13:13" x14ac:dyDescent="0.3">
      <c r="M268" s="38"/>
    </row>
    <row r="269" spans="13:13" x14ac:dyDescent="0.3">
      <c r="M269" s="38"/>
    </row>
    <row r="270" spans="13:13" x14ac:dyDescent="0.3">
      <c r="M270" s="38"/>
    </row>
    <row r="271" spans="13:13" x14ac:dyDescent="0.3">
      <c r="M271" s="38"/>
    </row>
    <row r="272" spans="13:13" x14ac:dyDescent="0.3">
      <c r="M272" s="38"/>
    </row>
    <row r="273" spans="13:13" x14ac:dyDescent="0.3">
      <c r="M273" s="38"/>
    </row>
    <row r="274" spans="13:13" x14ac:dyDescent="0.3">
      <c r="M274" s="38"/>
    </row>
    <row r="275" spans="13:13" x14ac:dyDescent="0.3">
      <c r="M275" s="38"/>
    </row>
    <row r="276" spans="13:13" x14ac:dyDescent="0.3">
      <c r="M276" s="38"/>
    </row>
    <row r="277" spans="13:13" x14ac:dyDescent="0.3">
      <c r="M277" s="38"/>
    </row>
    <row r="278" spans="13:13" x14ac:dyDescent="0.3">
      <c r="M278" s="38"/>
    </row>
    <row r="279" spans="13:13" x14ac:dyDescent="0.3">
      <c r="M279" s="38"/>
    </row>
    <row r="280" spans="13:13" x14ac:dyDescent="0.3">
      <c r="M280" s="38"/>
    </row>
    <row r="281" spans="13:13" x14ac:dyDescent="0.3">
      <c r="M281" s="38"/>
    </row>
    <row r="282" spans="13:13" x14ac:dyDescent="0.3">
      <c r="M282" s="38"/>
    </row>
    <row r="283" spans="13:13" x14ac:dyDescent="0.3">
      <c r="M283" s="38"/>
    </row>
    <row r="284" spans="13:13" x14ac:dyDescent="0.3">
      <c r="M284" s="38"/>
    </row>
    <row r="285" spans="13:13" x14ac:dyDescent="0.3">
      <c r="M285" s="38"/>
    </row>
    <row r="286" spans="13:13" x14ac:dyDescent="0.3">
      <c r="M286" s="38"/>
    </row>
  </sheetData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2024-12-12T15:30:25Z</cp:lastPrinted>
  <dcterms:created xsi:type="dcterms:W3CDTF">2001-07-11T13:17:26Z</dcterms:created>
  <dcterms:modified xsi:type="dcterms:W3CDTF">2024-12-13T14:07:28Z</dcterms:modified>
</cp:coreProperties>
</file>