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0" windowWidth="12120" windowHeight="8020" tabRatio="497" activeTab="1"/>
  </bookViews>
  <sheets>
    <sheet name="01.01.2022" sheetId="1" r:id="rId1"/>
    <sheet name="ДРУК" sheetId="2" r:id="rId2"/>
  </sheets>
  <definedNames>
    <definedName name="_xlnm.Print_Area" localSheetId="1">'ДРУК'!$A$1:$L$79</definedName>
  </definedNames>
  <calcPr fullCalcOnLoad="1"/>
</workbook>
</file>

<file path=xl/sharedStrings.xml><?xml version="1.0" encoding="utf-8"?>
<sst xmlns="http://schemas.openxmlformats.org/spreadsheetml/2006/main" count="258" uniqueCount="70">
  <si>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</si>
  <si>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</si>
  <si>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</si>
  <si>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</si>
  <si>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</si>
  <si>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</si>
  <si>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</si>
  <si>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</si>
  <si>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</si>
  <si>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</si>
  <si>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</si>
  <si>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</si>
  <si>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</si>
  <si>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</si>
  <si>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</si>
  <si>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</si>
  <si>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</si>
  <si>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</si>
  <si>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</si>
  <si>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</si>
  <si>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</si>
  <si>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</si>
  <si>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251 1180</t>
  </si>
  <si>
    <t>3220</t>
  </si>
  <si>
    <t>371 9270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</si>
  <si>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</si>
  <si>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</si>
  <si>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</si>
  <si>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</si>
  <si>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</si>
  <si>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</si>
  <si>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</si>
  <si>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</si>
  <si>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</si>
  <si>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</si>
  <si>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</si>
  <si>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</si>
  <si>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</si>
  <si>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</si>
  <si>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</si>
  <si>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</si>
  <si>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</si>
  <si>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</si>
  <si>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НАДХОДЖЕННЯ  ТРАНСФЕРТІВ З  ДЕРЖАВНОГО БЮДЖЕТУ  ДО  ОБЛАСНОГО БЮДЖЕТУ</t>
  </si>
  <si>
    <t>НАДХОДЖЕННЯ  ТРАНСФЕРТІВ З  ДЕРЖАВНОГО БЮДЖЕТУ  ДО БЮДЖЕТУ ЧЕРНІВЕЦЬКОЇ ОБЛАСТІ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</si>
  <si>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</si>
  <si>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на 2021 рік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</si>
  <si>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</si>
  <si>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</si>
  <si>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</si>
  <si>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</si>
  <si>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</si>
  <si>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</si>
  <si>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</si>
  <si>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</si>
  <si>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</si>
  <si>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</si>
  <si>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мережі спец.служб підтримки осіб, які постраждали від домашнього насильства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</si>
  <si>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</si>
  <si>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</si>
  <si>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</si>
  <si>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програми "Спроможна школа для кращих результатів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</si>
  <si>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</si>
  <si>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на січень - листопад</t>
  </si>
  <si>
    <t>Субвенція з державного бюджету місцевим бюджетам на здійснення заходів щодо підтримки територій внаслідок збройного конфлікту на сході України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</si>
  <si>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</si>
  <si>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</si>
  <si>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погашення заборгованості з різниці в тарифах</t>
  </si>
  <si>
    <t xml:space="preserve">                                       станом на 01 січня 2022 року                             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</si>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</sst>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6"/>
      <color indexed="63"/>
      <name val="Times New Roman"/>
      <family val="1"/>
    </font>
    <font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6"/>
      <color rgb="FF333333"/>
      <name val="Times New Roman"/>
      <family val="1"/>
    </font>
    <font>
      <sz val="1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33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49" fontId="9" fillId="0" borderId="10" xfId="53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6" fillId="0" borderId="10" xfId="53" applyFont="1" applyFill="1" applyBorder="1" applyAlignment="1" applyProtection="1">
      <alignment horizontal="left" vertical="center" wrapText="1"/>
      <protection locked="0"/>
    </xf>
    <xf numFmtId="49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4" fontId="14" fillId="33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vertical="center"/>
    </xf>
    <xf numFmtId="4" fontId="13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vertical="center"/>
    </xf>
    <xf numFmtId="180" fontId="1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7" fillId="33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vertical="center"/>
    </xf>
    <xf numFmtId="4" fontId="58" fillId="0" borderId="10" xfId="0" applyNumberFormat="1" applyFont="1" applyFill="1" applyBorder="1" applyAlignment="1">
      <alignment vertical="center"/>
    </xf>
    <xf numFmtId="4" fontId="58" fillId="33" borderId="0" xfId="0" applyNumberFormat="1" applyFont="1" applyFill="1" applyBorder="1" applyAlignment="1">
      <alignment vertical="center"/>
    </xf>
    <xf numFmtId="4" fontId="58" fillId="0" borderId="0" xfId="0" applyNumberFormat="1" applyFont="1" applyFill="1" applyBorder="1" applyAlignment="1">
      <alignment vertical="center"/>
    </xf>
    <xf numFmtId="0" fontId="59" fillId="33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4" fontId="60" fillId="33" borderId="0" xfId="0" applyNumberFormat="1" applyFont="1" applyFill="1" applyBorder="1" applyAlignment="1">
      <alignment vertical="center"/>
    </xf>
    <xf numFmtId="4" fontId="60" fillId="0" borderId="0" xfId="0" applyNumberFormat="1" applyFont="1" applyFill="1" applyBorder="1" applyAlignment="1">
      <alignment vertical="center"/>
    </xf>
    <xf numFmtId="0" fontId="61" fillId="33" borderId="0" xfId="0" applyFont="1" applyFill="1" applyAlignment="1">
      <alignment/>
    </xf>
    <xf numFmtId="4" fontId="61" fillId="0" borderId="0" xfId="0" applyNumberFormat="1" applyFont="1" applyFill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3" fontId="9" fillId="0" borderId="10" xfId="6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>
      <alignment vertical="center"/>
    </xf>
    <xf numFmtId="0" fontId="62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3" fontId="9" fillId="0" borderId="10" xfId="6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vertical="center"/>
    </xf>
    <xf numFmtId="4" fontId="63" fillId="0" borderId="10" xfId="0" applyNumberFormat="1" applyFont="1" applyFill="1" applyBorder="1" applyAlignment="1">
      <alignment horizontal="right" vertical="center"/>
    </xf>
    <xf numFmtId="43" fontId="63" fillId="0" borderId="10" xfId="61" applyFont="1" applyFill="1" applyBorder="1" applyAlignment="1">
      <alignment horizontal="right" vertic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3" fillId="0" borderId="10" xfId="0" applyFont="1" applyFill="1" applyBorder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43" fontId="17" fillId="0" borderId="10" xfId="6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zoomScale="58" zoomScaleNormal="58" zoomScalePageLayoutView="0" workbookViewId="0" topLeftCell="A25">
      <selection activeCell="K34" sqref="K34"/>
    </sheetView>
  </sheetViews>
  <sheetFormatPr defaultColWidth="14.140625" defaultRowHeight="15"/>
  <cols>
    <col min="1" max="1" width="69.8515625" style="49" customWidth="1"/>
    <col min="2" max="2" width="14.140625" style="50" hidden="1" customWidth="1"/>
    <col min="3" max="3" width="10.57421875" style="50" hidden="1" customWidth="1"/>
    <col min="4" max="4" width="16.421875" style="1" customWidth="1"/>
    <col min="5" max="5" width="8.421875" style="1" hidden="1" customWidth="1"/>
    <col min="6" max="6" width="25.57421875" style="41" hidden="1" customWidth="1"/>
    <col min="7" max="7" width="27.00390625" style="63" customWidth="1"/>
    <col min="8" max="8" width="26.421875" style="64" customWidth="1"/>
    <col min="9" max="9" width="19.00390625" style="51" customWidth="1"/>
    <col min="10" max="10" width="29.421875" style="1" customWidth="1"/>
    <col min="11" max="11" width="27.140625" style="84" customWidth="1"/>
    <col min="12" max="12" width="13.140625" style="1" customWidth="1"/>
    <col min="13" max="16384" width="14.140625" style="1" customWidth="1"/>
  </cols>
  <sheetData>
    <row r="1" spans="1:11" s="17" customFormat="1" ht="22.5" customHeight="1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7" customFormat="1" ht="22.5">
      <c r="A2" s="105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7" customFormat="1" ht="22.5">
      <c r="A3" s="18"/>
      <c r="B3" s="18"/>
      <c r="C3" s="18"/>
      <c r="D3" s="18"/>
      <c r="E3" s="18"/>
      <c r="F3" s="19"/>
      <c r="G3" s="53"/>
      <c r="H3" s="54"/>
      <c r="I3" s="18"/>
      <c r="J3" s="27" t="s">
        <v>42</v>
      </c>
      <c r="K3" s="79"/>
    </row>
    <row r="4" spans="1:11" ht="21" customHeight="1">
      <c r="A4" s="106" t="s">
        <v>0</v>
      </c>
      <c r="B4" s="108" t="s">
        <v>1</v>
      </c>
      <c r="C4" s="108" t="s">
        <v>2</v>
      </c>
      <c r="D4" s="108" t="s">
        <v>3</v>
      </c>
      <c r="E4" s="110" t="s">
        <v>4</v>
      </c>
      <c r="F4" s="93" t="s">
        <v>5</v>
      </c>
      <c r="G4" s="94"/>
      <c r="H4" s="95" t="s">
        <v>6</v>
      </c>
      <c r="I4" s="96"/>
      <c r="J4" s="97" t="s">
        <v>7</v>
      </c>
      <c r="K4" s="99" t="s">
        <v>50</v>
      </c>
    </row>
    <row r="5" spans="1:11" ht="45" customHeight="1">
      <c r="A5" s="107"/>
      <c r="B5" s="109"/>
      <c r="C5" s="109"/>
      <c r="D5" s="109"/>
      <c r="E5" s="111"/>
      <c r="F5" s="20" t="s">
        <v>8</v>
      </c>
      <c r="G5" s="20" t="s">
        <v>46</v>
      </c>
      <c r="H5" s="21" t="s">
        <v>9</v>
      </c>
      <c r="I5" s="3" t="s">
        <v>10</v>
      </c>
      <c r="J5" s="98"/>
      <c r="K5" s="100"/>
    </row>
    <row r="6" spans="1:11" ht="24.75">
      <c r="A6" s="101" t="s">
        <v>11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11" ht="22.5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561257500</v>
      </c>
      <c r="G7" s="15">
        <v>1098332200</v>
      </c>
      <c r="H7" s="7">
        <f>610185333.38+30509266.62+30509266.62+61018533.38+30509266.62+61018533.38+30509266.62+30509266.62+30509266.76+30509266.76+30509266.76+30509266.48+30509266.76+30509266.76+30507866.48</f>
        <v>1098332200</v>
      </c>
      <c r="I7" s="29">
        <f aca="true" t="shared" si="0" ref="I7:I34">H7/G7*100</f>
        <v>100</v>
      </c>
      <c r="J7" s="7">
        <f>G7-H7</f>
        <v>0</v>
      </c>
      <c r="K7" s="65"/>
    </row>
    <row r="8" spans="1:11" ht="81.75">
      <c r="A8" s="23" t="s">
        <v>15</v>
      </c>
      <c r="B8" s="24" t="s">
        <v>16</v>
      </c>
      <c r="C8" s="24" t="s">
        <v>14</v>
      </c>
      <c r="D8" s="6">
        <v>41020200</v>
      </c>
      <c r="E8" s="10" t="s">
        <v>17</v>
      </c>
      <c r="F8" s="15">
        <v>677508800</v>
      </c>
      <c r="G8" s="15">
        <v>227846700</v>
      </c>
      <c r="H8" s="7">
        <f>18987200+18987200+18987200+18987200+18987200+18987200+18987200+18987200+18987200+18987200+18987200+18987500</f>
        <v>227846700</v>
      </c>
      <c r="I8" s="29">
        <f t="shared" si="0"/>
        <v>100</v>
      </c>
      <c r="J8" s="7">
        <f>G8-H8</f>
        <v>0</v>
      </c>
      <c r="K8" s="65"/>
    </row>
    <row r="9" spans="1:11" ht="69" customHeight="1">
      <c r="A9" s="23" t="s">
        <v>66</v>
      </c>
      <c r="B9" s="24"/>
      <c r="C9" s="24"/>
      <c r="D9" s="6">
        <v>41021100</v>
      </c>
      <c r="E9" s="10"/>
      <c r="F9" s="15"/>
      <c r="G9" s="15">
        <v>23664700</v>
      </c>
      <c r="H9" s="7">
        <v>23664700</v>
      </c>
      <c r="I9" s="29">
        <f t="shared" si="0"/>
        <v>100</v>
      </c>
      <c r="J9" s="7">
        <f>G9-H9</f>
        <v>0</v>
      </c>
      <c r="K9" s="65"/>
    </row>
    <row r="10" spans="1:11" s="26" customFormat="1" ht="22.5">
      <c r="A10" s="11" t="s">
        <v>18</v>
      </c>
      <c r="B10" s="25"/>
      <c r="C10" s="25"/>
      <c r="D10" s="13"/>
      <c r="E10" s="13"/>
      <c r="F10" s="2">
        <f>SUM(F7:F8)</f>
        <v>1238766300</v>
      </c>
      <c r="G10" s="2">
        <f>G7+G8+G9</f>
        <v>1349843600</v>
      </c>
      <c r="H10" s="2">
        <f>H7+H8+H9</f>
        <v>1349843600</v>
      </c>
      <c r="I10" s="30">
        <f t="shared" si="0"/>
        <v>100</v>
      </c>
      <c r="J10" s="2">
        <f>J7+J8+J9</f>
        <v>0</v>
      </c>
      <c r="K10" s="2">
        <f>K7+K8+K9</f>
        <v>0</v>
      </c>
    </row>
    <row r="11" spans="1:11" s="26" customFormat="1" ht="61.5">
      <c r="A11" s="14" t="s">
        <v>51</v>
      </c>
      <c r="B11" s="25"/>
      <c r="C11" s="25"/>
      <c r="D11" s="6">
        <v>41030500</v>
      </c>
      <c r="E11" s="13"/>
      <c r="F11" s="2"/>
      <c r="G11" s="15">
        <f>1416390+1555098</f>
        <v>2971488</v>
      </c>
      <c r="H11" s="15">
        <f>1416390+1555098-K11</f>
        <v>2971486.24</v>
      </c>
      <c r="I11" s="29">
        <f t="shared" si="0"/>
        <v>99.99994077041536</v>
      </c>
      <c r="J11" s="7">
        <f>G11-H11-K11</f>
        <v>-2.2351742678949904E-10</v>
      </c>
      <c r="K11" s="65">
        <v>1.76</v>
      </c>
    </row>
    <row r="12" spans="1:11" s="26" customFormat="1" ht="61.5">
      <c r="A12" s="14" t="s">
        <v>49</v>
      </c>
      <c r="B12" s="25"/>
      <c r="C12" s="25"/>
      <c r="D12" s="6">
        <v>41032300</v>
      </c>
      <c r="E12" s="13"/>
      <c r="F12" s="2"/>
      <c r="G12" s="15">
        <v>48300000</v>
      </c>
      <c r="H12" s="15">
        <f>41000000+12000000+43750000-57250000+4400000+4400000</f>
        <v>48300000</v>
      </c>
      <c r="I12" s="29">
        <f t="shared" si="0"/>
        <v>100</v>
      </c>
      <c r="J12" s="7">
        <f>G12-H12</f>
        <v>0</v>
      </c>
      <c r="K12" s="75"/>
    </row>
    <row r="13" spans="1:11" s="26" customFormat="1" ht="65.25" customHeight="1">
      <c r="A13" s="89" t="s">
        <v>69</v>
      </c>
      <c r="B13" s="25"/>
      <c r="C13" s="25"/>
      <c r="D13" s="6">
        <v>41032500</v>
      </c>
      <c r="E13" s="13"/>
      <c r="F13" s="2"/>
      <c r="G13" s="15">
        <v>1229510</v>
      </c>
      <c r="H13" s="15">
        <v>1229510</v>
      </c>
      <c r="I13" s="29">
        <f t="shared" si="0"/>
        <v>100</v>
      </c>
      <c r="J13" s="7">
        <f>G13-H13</f>
        <v>0</v>
      </c>
      <c r="K13" s="75"/>
    </row>
    <row r="14" spans="1:11" s="26" customFormat="1" ht="61.5">
      <c r="A14" s="14" t="s">
        <v>61</v>
      </c>
      <c r="B14" s="25"/>
      <c r="C14" s="25"/>
      <c r="D14" s="6">
        <v>41032700</v>
      </c>
      <c r="E14" s="13"/>
      <c r="F14" s="2"/>
      <c r="G14" s="15">
        <v>39999000</v>
      </c>
      <c r="H14" s="15">
        <f>14013400+12011100+13974500-K14</f>
        <v>39651888.84</v>
      </c>
      <c r="I14" s="29">
        <f t="shared" si="0"/>
        <v>99.13220040501012</v>
      </c>
      <c r="J14" s="7">
        <f>G14-H14-K14</f>
        <v>-3.550667315721512E-09</v>
      </c>
      <c r="K14" s="7">
        <v>347111.16</v>
      </c>
    </row>
    <row r="15" spans="1:11" ht="61.5">
      <c r="A15" s="4" t="s">
        <v>45</v>
      </c>
      <c r="B15" s="5"/>
      <c r="C15" s="5"/>
      <c r="D15" s="6">
        <v>41033000</v>
      </c>
      <c r="E15" s="6"/>
      <c r="F15" s="15"/>
      <c r="G15" s="15">
        <f>90319500+15756000+7978900+5000000</f>
        <v>119054400</v>
      </c>
      <c r="H15" s="7">
        <f>54071050+4257450+4260850+4260850+4238900-34100+4238900+4238950+4238950+4238950+4238950+2242150+2242150+4484400+2411500+2411500+8013000+5000000-K15</f>
        <v>119013761.1</v>
      </c>
      <c r="I15" s="29">
        <f t="shared" si="0"/>
        <v>99.96586526831432</v>
      </c>
      <c r="J15" s="7">
        <f>G15-H15-K15</f>
        <v>5.959009286016226E-09</v>
      </c>
      <c r="K15" s="65">
        <v>40638.9</v>
      </c>
    </row>
    <row r="16" spans="1:11" ht="81.75">
      <c r="A16" s="4" t="s">
        <v>65</v>
      </c>
      <c r="B16" s="5"/>
      <c r="C16" s="5"/>
      <c r="D16" s="6">
        <v>41033400</v>
      </c>
      <c r="E16" s="6"/>
      <c r="F16" s="15"/>
      <c r="G16" s="15">
        <v>6122400</v>
      </c>
      <c r="H16" s="7">
        <v>6122400</v>
      </c>
      <c r="I16" s="29">
        <f t="shared" si="0"/>
        <v>100</v>
      </c>
      <c r="J16" s="7">
        <f>G16-H16-K16</f>
        <v>0</v>
      </c>
      <c r="K16" s="76"/>
    </row>
    <row r="17" spans="1:11" ht="61.5">
      <c r="A17" s="4" t="s">
        <v>58</v>
      </c>
      <c r="B17" s="5"/>
      <c r="C17" s="5"/>
      <c r="D17" s="6">
        <v>41033800</v>
      </c>
      <c r="E17" s="6"/>
      <c r="F17" s="15"/>
      <c r="G17" s="15">
        <v>5718700</v>
      </c>
      <c r="H17" s="7">
        <f>1906200+3812500-K17</f>
        <v>5624613</v>
      </c>
      <c r="I17" s="29">
        <f t="shared" si="0"/>
        <v>98.3547484568171</v>
      </c>
      <c r="J17" s="7">
        <f>G17-H17-K17</f>
        <v>0</v>
      </c>
      <c r="K17" s="65">
        <v>94087</v>
      </c>
    </row>
    <row r="18" spans="1:11" ht="40.5">
      <c r="A18" s="4" t="s">
        <v>19</v>
      </c>
      <c r="B18" s="5" t="s">
        <v>20</v>
      </c>
      <c r="C18" s="5" t="s">
        <v>14</v>
      </c>
      <c r="D18" s="6">
        <v>41033900</v>
      </c>
      <c r="E18" s="6"/>
      <c r="F18" s="15">
        <v>1688826300</v>
      </c>
      <c r="G18" s="15">
        <f>2668824700+34856900+2534700</f>
        <v>2706216300</v>
      </c>
      <c r="H18" s="7">
        <f>1636373600+52917850+52917850+110680400+110680400+112028600+112028600+116063450+116063450+124535250+124535250+34856900+2534700</f>
        <v>2706216300</v>
      </c>
      <c r="I18" s="29">
        <f t="shared" si="0"/>
        <v>100</v>
      </c>
      <c r="J18" s="7">
        <f aca="true" t="shared" si="1" ref="J18:J24">G18-H18</f>
        <v>0</v>
      </c>
      <c r="K18" s="76"/>
    </row>
    <row r="19" spans="1:11" ht="102">
      <c r="A19" s="4" t="s">
        <v>21</v>
      </c>
      <c r="B19" s="5" t="s">
        <v>22</v>
      </c>
      <c r="C19" s="5" t="s">
        <v>23</v>
      </c>
      <c r="D19" s="6">
        <v>41034400</v>
      </c>
      <c r="E19" s="10" t="s">
        <v>24</v>
      </c>
      <c r="F19" s="15">
        <v>6386400</v>
      </c>
      <c r="G19" s="15">
        <v>16298000</v>
      </c>
      <c r="H19" s="7">
        <f>3936000+984000+1775400+2571900+2531400+4499300-K19</f>
        <v>16178659.75</v>
      </c>
      <c r="I19" s="29">
        <f t="shared" si="0"/>
        <v>99.26776138176463</v>
      </c>
      <c r="J19" s="7">
        <f>G19-H19-K19</f>
        <v>0</v>
      </c>
      <c r="K19" s="65">
        <v>119340.25</v>
      </c>
    </row>
    <row r="20" spans="1:11" ht="61.5">
      <c r="A20" s="14" t="s">
        <v>48</v>
      </c>
      <c r="B20" s="5"/>
      <c r="C20" s="5"/>
      <c r="D20" s="6">
        <v>41034500</v>
      </c>
      <c r="E20" s="10"/>
      <c r="F20" s="15"/>
      <c r="G20" s="15">
        <f>118595519+9000000</f>
        <v>127595519</v>
      </c>
      <c r="H20" s="7">
        <f>28129000+7033000+7293000+7773000+7773000+15502000+45092519+9000000-K20</f>
        <v>127492138.11</v>
      </c>
      <c r="I20" s="29">
        <f t="shared" si="0"/>
        <v>99.91897764842354</v>
      </c>
      <c r="J20" s="7">
        <f>G20-H20-K20</f>
        <v>5.966285243630409E-10</v>
      </c>
      <c r="K20" s="65">
        <v>103380.89</v>
      </c>
    </row>
    <row r="21" spans="1:11" ht="61.5">
      <c r="A21" s="14" t="s">
        <v>64</v>
      </c>
      <c r="B21" s="5"/>
      <c r="C21" s="5"/>
      <c r="D21" s="6">
        <v>41034600</v>
      </c>
      <c r="E21" s="10"/>
      <c r="F21" s="15"/>
      <c r="G21" s="15">
        <v>3128700</v>
      </c>
      <c r="H21" s="7">
        <f>3128700-K21</f>
        <v>1929367.65</v>
      </c>
      <c r="I21" s="29">
        <f t="shared" si="0"/>
        <v>61.6667513663822</v>
      </c>
      <c r="J21" s="7">
        <f>G21-H21-K21</f>
        <v>0</v>
      </c>
      <c r="K21" s="65">
        <v>1199332.35</v>
      </c>
    </row>
    <row r="22" spans="1:11" ht="40.5">
      <c r="A22" s="14" t="s">
        <v>54</v>
      </c>
      <c r="B22" s="5"/>
      <c r="C22" s="5"/>
      <c r="D22" s="6">
        <v>41035200</v>
      </c>
      <c r="E22" s="10"/>
      <c r="F22" s="15"/>
      <c r="G22" s="15">
        <v>4543074</v>
      </c>
      <c r="H22" s="7">
        <f>4543074-K22</f>
        <v>4542996</v>
      </c>
      <c r="I22" s="29">
        <f t="shared" si="0"/>
        <v>99.99828310082557</v>
      </c>
      <c r="J22" s="7">
        <f>G22-H22-K22</f>
        <v>0</v>
      </c>
      <c r="K22" s="65">
        <v>78</v>
      </c>
    </row>
    <row r="23" spans="1:11" ht="61.5">
      <c r="A23" s="14" t="s">
        <v>60</v>
      </c>
      <c r="B23" s="5"/>
      <c r="C23" s="5"/>
      <c r="D23" s="6">
        <v>41035300</v>
      </c>
      <c r="E23" s="10"/>
      <c r="F23" s="15"/>
      <c r="G23" s="15">
        <v>909400</v>
      </c>
      <c r="H23" s="7">
        <f>80000+559700+116300+153400</f>
        <v>909400</v>
      </c>
      <c r="I23" s="29">
        <f t="shared" si="0"/>
        <v>100</v>
      </c>
      <c r="J23" s="7">
        <f t="shared" si="1"/>
        <v>0</v>
      </c>
      <c r="K23" s="76"/>
    </row>
    <row r="24" spans="1:11" ht="61.5">
      <c r="A24" s="14" t="s">
        <v>40</v>
      </c>
      <c r="B24" s="9" t="s">
        <v>38</v>
      </c>
      <c r="C24" s="9" t="s">
        <v>39</v>
      </c>
      <c r="D24" s="6">
        <v>41035400</v>
      </c>
      <c r="E24" s="10"/>
      <c r="F24" s="15">
        <v>8932700</v>
      </c>
      <c r="G24" s="15">
        <f>11682000+5927800</f>
        <v>17609800</v>
      </c>
      <c r="H24" s="7">
        <f>872700+872700+872700+1275900+973500+973500+1745400+973500+973500+973500+973500+2718900+3410500</f>
        <v>17609800</v>
      </c>
      <c r="I24" s="29">
        <f t="shared" si="0"/>
        <v>100</v>
      </c>
      <c r="J24" s="7">
        <f t="shared" si="1"/>
        <v>0</v>
      </c>
      <c r="K24" s="76"/>
    </row>
    <row r="25" spans="1:11" ht="90" customHeight="1">
      <c r="A25" s="71" t="s">
        <v>55</v>
      </c>
      <c r="B25" s="9"/>
      <c r="C25" s="9"/>
      <c r="D25" s="6">
        <v>41035500</v>
      </c>
      <c r="E25" s="10"/>
      <c r="F25" s="15"/>
      <c r="G25" s="15">
        <v>1377750</v>
      </c>
      <c r="H25" s="7">
        <f>1377750-K25</f>
        <v>1365750</v>
      </c>
      <c r="I25" s="29">
        <f t="shared" si="0"/>
        <v>99.12901469787697</v>
      </c>
      <c r="J25" s="7">
        <f>G25-H25-K25</f>
        <v>0</v>
      </c>
      <c r="K25" s="65">
        <v>12000</v>
      </c>
    </row>
    <row r="26" spans="1:11" ht="83.25" customHeight="1">
      <c r="A26" s="71" t="s">
        <v>57</v>
      </c>
      <c r="B26" s="67"/>
      <c r="C26" s="67"/>
      <c r="D26" s="68">
        <v>41035600</v>
      </c>
      <c r="E26" s="69"/>
      <c r="F26" s="70"/>
      <c r="G26" s="15">
        <v>8858471</v>
      </c>
      <c r="H26" s="7">
        <f>223203+1992131+223203+1992131+223203+1992131+220317+1992152-K26</f>
        <v>8853927</v>
      </c>
      <c r="I26" s="29">
        <f t="shared" si="0"/>
        <v>99.9487044660416</v>
      </c>
      <c r="J26" s="7">
        <f>G26-H26-K26</f>
        <v>0</v>
      </c>
      <c r="K26" s="65">
        <v>4544</v>
      </c>
    </row>
    <row r="27" spans="1:11" ht="61.5">
      <c r="A27" s="14" t="s">
        <v>47</v>
      </c>
      <c r="B27" s="9" t="s">
        <v>38</v>
      </c>
      <c r="C27" s="9" t="s">
        <v>39</v>
      </c>
      <c r="D27" s="6">
        <v>41035900</v>
      </c>
      <c r="E27" s="10"/>
      <c r="F27" s="15">
        <v>8932700</v>
      </c>
      <c r="G27" s="15">
        <f>546100+15557800+9643200-284200</f>
        <v>25462900</v>
      </c>
      <c r="H27" s="7">
        <f>6460600+1285800+3214400+5143100-284200+9643200-K27</f>
        <v>25462875</v>
      </c>
      <c r="I27" s="29">
        <f t="shared" si="0"/>
        <v>99.99990181793905</v>
      </c>
      <c r="J27" s="7">
        <f>G27-H27-25</f>
        <v>0</v>
      </c>
      <c r="K27" s="66">
        <f>25</f>
        <v>25</v>
      </c>
    </row>
    <row r="28" spans="1:11" ht="61.5">
      <c r="A28" s="14" t="s">
        <v>56</v>
      </c>
      <c r="B28" s="9"/>
      <c r="C28" s="9"/>
      <c r="D28" s="6">
        <v>41036100</v>
      </c>
      <c r="E28" s="10"/>
      <c r="F28" s="15"/>
      <c r="G28" s="15">
        <v>3164659</v>
      </c>
      <c r="H28" s="7">
        <f>3164659-K28</f>
        <v>3164106.73</v>
      </c>
      <c r="I28" s="29">
        <f t="shared" si="0"/>
        <v>99.9825488306955</v>
      </c>
      <c r="J28" s="7">
        <f>G28-H28-K28</f>
        <v>1.864464138634503E-11</v>
      </c>
      <c r="K28" s="65">
        <v>552.27</v>
      </c>
    </row>
    <row r="29" spans="1:11" ht="40.5">
      <c r="A29" s="14" t="s">
        <v>53</v>
      </c>
      <c r="B29" s="9"/>
      <c r="C29" s="9"/>
      <c r="D29" s="6">
        <v>41036400</v>
      </c>
      <c r="E29" s="10"/>
      <c r="F29" s="15"/>
      <c r="G29" s="15">
        <v>1601947</v>
      </c>
      <c r="H29" s="7">
        <f>1601947-K29</f>
        <v>1601946.39</v>
      </c>
      <c r="I29" s="29">
        <f t="shared" si="0"/>
        <v>99.99996192133696</v>
      </c>
      <c r="J29" s="7">
        <f>G29-H29-K29</f>
        <v>1.0244549653037893E-10</v>
      </c>
      <c r="K29" s="65">
        <v>0.61</v>
      </c>
    </row>
    <row r="30" spans="1:11" ht="40.5">
      <c r="A30" s="14" t="s">
        <v>59</v>
      </c>
      <c r="B30" s="9"/>
      <c r="C30" s="9"/>
      <c r="D30" s="6">
        <v>41037000</v>
      </c>
      <c r="E30" s="10"/>
      <c r="F30" s="15"/>
      <c r="G30" s="15">
        <v>1305800</v>
      </c>
      <c r="H30" s="7">
        <f>68300+651300+586200-K30</f>
        <v>898345.65</v>
      </c>
      <c r="I30" s="29">
        <f t="shared" si="0"/>
        <v>68.79657298207995</v>
      </c>
      <c r="J30" s="7">
        <f>G30-H30-K30</f>
        <v>0</v>
      </c>
      <c r="K30" s="65">
        <v>407454.35</v>
      </c>
    </row>
    <row r="31" spans="1:11" ht="61.5">
      <c r="A31" s="14" t="s">
        <v>52</v>
      </c>
      <c r="B31" s="9"/>
      <c r="C31" s="9"/>
      <c r="D31" s="6">
        <v>41037200</v>
      </c>
      <c r="E31" s="10"/>
      <c r="F31" s="15"/>
      <c r="G31" s="15">
        <f>27105900+11101800-2534700-500000</f>
        <v>35173000</v>
      </c>
      <c r="H31" s="7">
        <f>14900800+4163200+9554300+9589400-2534700-500000-K31</f>
        <v>30432677.34</v>
      </c>
      <c r="I31" s="29">
        <f t="shared" si="0"/>
        <v>86.52283666448697</v>
      </c>
      <c r="J31" s="7">
        <f>G31-H31-4738522.66-1800</f>
        <v>0</v>
      </c>
      <c r="K31" s="65">
        <f>4738522.66+1800</f>
        <v>4740322.66</v>
      </c>
    </row>
    <row r="32" spans="1:11" ht="61.5">
      <c r="A32" s="14" t="s">
        <v>62</v>
      </c>
      <c r="B32" s="9"/>
      <c r="C32" s="9"/>
      <c r="D32" s="6">
        <v>41039100</v>
      </c>
      <c r="E32" s="10"/>
      <c r="F32" s="15"/>
      <c r="G32" s="15">
        <v>17414400</v>
      </c>
      <c r="H32" s="7">
        <f>17414400-K32</f>
        <v>16652662.05</v>
      </c>
      <c r="I32" s="29">
        <f t="shared" si="0"/>
        <v>95.62581570424477</v>
      </c>
      <c r="J32" s="7">
        <f>G32-H32-K32</f>
        <v>0</v>
      </c>
      <c r="K32" s="66">
        <v>761737.95</v>
      </c>
    </row>
    <row r="33" spans="1:11" s="26" customFormat="1" ht="39.75">
      <c r="A33" s="11" t="s">
        <v>25</v>
      </c>
      <c r="B33" s="25"/>
      <c r="C33" s="25"/>
      <c r="D33" s="13"/>
      <c r="E33" s="13"/>
      <c r="F33" s="2">
        <f>SUM(F15:F27)</f>
        <v>1713078100</v>
      </c>
      <c r="G33" s="2">
        <f>SUM(G11:G32)</f>
        <v>3194055218</v>
      </c>
      <c r="H33" s="2">
        <f>SUM(H11:H32)</f>
        <v>3186224610.8500004</v>
      </c>
      <c r="I33" s="30">
        <f t="shared" si="0"/>
        <v>99.75483807838165</v>
      </c>
      <c r="J33" s="2">
        <f>SUM(J11:J31)</f>
        <v>2.90254320578498E-09</v>
      </c>
      <c r="K33" s="8">
        <f>SUM(K11:K32)</f>
        <v>7830607.15</v>
      </c>
    </row>
    <row r="34" spans="1:11" s="26" customFormat="1" ht="40.5" customHeight="1">
      <c r="A34" s="11" t="s">
        <v>26</v>
      </c>
      <c r="B34" s="25"/>
      <c r="C34" s="25"/>
      <c r="D34" s="13"/>
      <c r="E34" s="13"/>
      <c r="F34" s="2">
        <f>F10+F33</f>
        <v>2951844400</v>
      </c>
      <c r="G34" s="2">
        <f>G10+G33</f>
        <v>4543898818</v>
      </c>
      <c r="H34" s="8">
        <f>H10+H33</f>
        <v>4536068210.85</v>
      </c>
      <c r="I34" s="30">
        <f t="shared" si="0"/>
        <v>99.82766766022651</v>
      </c>
      <c r="J34" s="8">
        <f>J10+J33</f>
        <v>2.90254320578498E-09</v>
      </c>
      <c r="K34" s="8">
        <f>K10+K33</f>
        <v>7830607.15</v>
      </c>
    </row>
    <row r="35" spans="1:11" s="26" customFormat="1" ht="24.75">
      <c r="A35" s="101" t="s">
        <v>27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s="26" customFormat="1" ht="61.5">
      <c r="A36" s="89" t="s">
        <v>69</v>
      </c>
      <c r="B36" s="90"/>
      <c r="C36" s="90"/>
      <c r="D36" s="74">
        <v>41032500</v>
      </c>
      <c r="E36" s="90"/>
      <c r="F36" s="90"/>
      <c r="G36" s="91">
        <v>10138060</v>
      </c>
      <c r="H36" s="91">
        <v>10138060</v>
      </c>
      <c r="I36" s="29">
        <f>H36/G36*100</f>
        <v>100</v>
      </c>
      <c r="J36" s="7">
        <f>G36-H36</f>
        <v>0</v>
      </c>
      <c r="K36" s="90"/>
    </row>
    <row r="37" spans="1:11" s="26" customFormat="1" ht="61.5">
      <c r="A37" s="4" t="s">
        <v>45</v>
      </c>
      <c r="B37" s="5"/>
      <c r="C37" s="5"/>
      <c r="D37" s="6">
        <v>41033000</v>
      </c>
      <c r="E37" s="74"/>
      <c r="F37" s="74"/>
      <c r="G37" s="73">
        <f>13154000+3553700</f>
        <v>16707700</v>
      </c>
      <c r="H37" s="73">
        <f>13154000+3553700-K37</f>
        <v>16707685</v>
      </c>
      <c r="I37" s="29">
        <f aca="true" t="shared" si="2" ref="I37:I43">H37/G37*100</f>
        <v>99.99991022103582</v>
      </c>
      <c r="J37" s="7">
        <f>G37-H37-K37</f>
        <v>0</v>
      </c>
      <c r="K37" s="73">
        <v>15</v>
      </c>
    </row>
    <row r="38" spans="1:11" s="26" customFormat="1" ht="61.5">
      <c r="A38" s="14" t="s">
        <v>48</v>
      </c>
      <c r="B38" s="5"/>
      <c r="C38" s="5"/>
      <c r="D38" s="6">
        <v>41034500</v>
      </c>
      <c r="E38" s="72"/>
      <c r="F38" s="72"/>
      <c r="G38" s="73">
        <v>3404481</v>
      </c>
      <c r="H38" s="73">
        <f>2073000+331481+1000000-K38</f>
        <v>3404480.96</v>
      </c>
      <c r="I38" s="29">
        <f t="shared" si="2"/>
        <v>99.99999882507788</v>
      </c>
      <c r="J38" s="7">
        <f>G38-H38-K38</f>
        <v>3.725290215195187E-11</v>
      </c>
      <c r="K38" s="73">
        <v>0.04</v>
      </c>
    </row>
    <row r="39" spans="1:11" s="26" customFormat="1" ht="61.5">
      <c r="A39" s="14" t="s">
        <v>67</v>
      </c>
      <c r="B39" s="9"/>
      <c r="C39" s="9"/>
      <c r="D39" s="6">
        <v>41036600</v>
      </c>
      <c r="E39" s="10"/>
      <c r="F39" s="15"/>
      <c r="G39" s="15">
        <v>125165600</v>
      </c>
      <c r="H39" s="73">
        <v>110984103.92</v>
      </c>
      <c r="I39" s="29">
        <f t="shared" si="2"/>
        <v>88.66981336725107</v>
      </c>
      <c r="J39" s="7">
        <f>G39-H39</f>
        <v>14181496.079999998</v>
      </c>
      <c r="K39" s="92"/>
    </row>
    <row r="40" spans="1:11" ht="102">
      <c r="A40" s="4" t="s">
        <v>41</v>
      </c>
      <c r="B40" s="9" t="s">
        <v>29</v>
      </c>
      <c r="C40" s="32" t="s">
        <v>39</v>
      </c>
      <c r="D40" s="6">
        <v>41037300</v>
      </c>
      <c r="E40" s="6"/>
      <c r="F40" s="15">
        <v>182873000</v>
      </c>
      <c r="G40" s="15">
        <f>364268700+33851500</f>
        <v>398120200</v>
      </c>
      <c r="H40" s="7">
        <f>185334800+28842300+32595300+29094300+25554500+33376500+29471000+33851500</f>
        <v>398120200</v>
      </c>
      <c r="I40" s="29">
        <f t="shared" si="2"/>
        <v>100</v>
      </c>
      <c r="J40" s="7">
        <f>G40-H40</f>
        <v>0</v>
      </c>
      <c r="K40" s="65"/>
    </row>
    <row r="41" spans="1:11" s="26" customFormat="1" ht="39.75">
      <c r="A41" s="11" t="s">
        <v>30</v>
      </c>
      <c r="B41" s="12"/>
      <c r="C41" s="12"/>
      <c r="D41" s="13"/>
      <c r="E41" s="13"/>
      <c r="F41" s="2">
        <f>SUM(F40:F40)</f>
        <v>182873000</v>
      </c>
      <c r="G41" s="2">
        <f>SUM(G36:G40)</f>
        <v>553536041</v>
      </c>
      <c r="H41" s="2">
        <f>SUM(H36:H40)</f>
        <v>539354529.88</v>
      </c>
      <c r="I41" s="30">
        <f t="shared" si="2"/>
        <v>97.43801485909027</v>
      </c>
      <c r="J41" s="2">
        <f>SUM(J36:J40)</f>
        <v>14181496.079999998</v>
      </c>
      <c r="K41" s="8">
        <f>SUM(K36:K40)</f>
        <v>15.04</v>
      </c>
    </row>
    <row r="42" spans="1:11" s="26" customFormat="1" ht="39.75">
      <c r="A42" s="11" t="s">
        <v>31</v>
      </c>
      <c r="B42" s="12"/>
      <c r="C42" s="12"/>
      <c r="D42" s="13"/>
      <c r="E42" s="13"/>
      <c r="F42" s="2">
        <f>F33+F41</f>
        <v>1895951100</v>
      </c>
      <c r="G42" s="2">
        <f>G33+G41</f>
        <v>3747591259</v>
      </c>
      <c r="H42" s="8">
        <f>H33+H41</f>
        <v>3725579140.7300005</v>
      </c>
      <c r="I42" s="30">
        <f t="shared" si="2"/>
        <v>99.41263289540618</v>
      </c>
      <c r="J42" s="8">
        <f>J33+J41</f>
        <v>14181496.080000002</v>
      </c>
      <c r="K42" s="8">
        <f>K33+K41</f>
        <v>7830622.19</v>
      </c>
    </row>
    <row r="43" spans="1:11" s="26" customFormat="1" ht="39.75">
      <c r="A43" s="11" t="s">
        <v>32</v>
      </c>
      <c r="B43" s="12"/>
      <c r="C43" s="12"/>
      <c r="D43" s="13"/>
      <c r="E43" s="13"/>
      <c r="F43" s="2">
        <f>F34+F41</f>
        <v>3134717400</v>
      </c>
      <c r="G43" s="2">
        <f>G34+G41</f>
        <v>5097434859</v>
      </c>
      <c r="H43" s="8">
        <f>H34+H41</f>
        <v>5075422740.7300005</v>
      </c>
      <c r="I43" s="30">
        <f t="shared" si="2"/>
        <v>99.568172642145</v>
      </c>
      <c r="J43" s="8">
        <f>J34+J41</f>
        <v>14181496.080000002</v>
      </c>
      <c r="K43" s="8">
        <f>K34+K41</f>
        <v>7830622.19</v>
      </c>
    </row>
    <row r="44" spans="1:11" s="26" customFormat="1" ht="22.5">
      <c r="A44" s="11"/>
      <c r="B44" s="42"/>
      <c r="C44" s="42"/>
      <c r="D44" s="43"/>
      <c r="E44" s="43"/>
      <c r="F44" s="39"/>
      <c r="G44" s="55"/>
      <c r="H44" s="56"/>
      <c r="I44" s="45"/>
      <c r="J44" s="44"/>
      <c r="K44" s="80"/>
    </row>
    <row r="45" spans="1:11" s="26" customFormat="1" ht="22.5">
      <c r="A45" s="33"/>
      <c r="B45" s="34"/>
      <c r="C45" s="34"/>
      <c r="D45" s="35"/>
      <c r="E45" s="35"/>
      <c r="F45" s="36"/>
      <c r="G45" s="57"/>
      <c r="H45" s="58"/>
      <c r="I45" s="38"/>
      <c r="J45" s="37"/>
      <c r="K45" s="81"/>
    </row>
    <row r="46" spans="1:11" s="26" customFormat="1" ht="22.5">
      <c r="A46" s="33"/>
      <c r="B46" s="34"/>
      <c r="C46" s="34"/>
      <c r="D46" s="35"/>
      <c r="E46" s="35"/>
      <c r="F46" s="36"/>
      <c r="G46" s="57"/>
      <c r="H46" s="58"/>
      <c r="I46" s="38"/>
      <c r="J46" s="37"/>
      <c r="K46" s="81"/>
    </row>
    <row r="47" spans="1:11" ht="22.5" customHeight="1">
      <c r="A47" s="104" t="s">
        <v>43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 ht="22.5">
      <c r="A48" s="105" t="s">
        <v>68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22.5">
      <c r="A49" s="27"/>
      <c r="B49" s="27"/>
      <c r="C49" s="27"/>
      <c r="D49" s="27"/>
      <c r="E49" s="27"/>
      <c r="F49" s="28"/>
      <c r="G49" s="59"/>
      <c r="H49" s="60"/>
      <c r="I49" s="31"/>
      <c r="J49" s="27" t="s">
        <v>42</v>
      </c>
      <c r="K49" s="82"/>
    </row>
    <row r="50" spans="1:11" ht="21" customHeight="1">
      <c r="A50" s="106" t="s">
        <v>0</v>
      </c>
      <c r="B50" s="108" t="s">
        <v>33</v>
      </c>
      <c r="C50" s="108" t="s">
        <v>34</v>
      </c>
      <c r="D50" s="108" t="s">
        <v>3</v>
      </c>
      <c r="E50" s="108" t="s">
        <v>4</v>
      </c>
      <c r="F50" s="93" t="s">
        <v>5</v>
      </c>
      <c r="G50" s="94"/>
      <c r="H50" s="95" t="s">
        <v>6</v>
      </c>
      <c r="I50" s="96"/>
      <c r="J50" s="97" t="s">
        <v>7</v>
      </c>
      <c r="K50" s="99" t="s">
        <v>50</v>
      </c>
    </row>
    <row r="51" spans="1:11" ht="20.25">
      <c r="A51" s="107"/>
      <c r="B51" s="109"/>
      <c r="C51" s="109"/>
      <c r="D51" s="109"/>
      <c r="E51" s="109"/>
      <c r="F51" s="20" t="s">
        <v>8</v>
      </c>
      <c r="G51" s="20" t="s">
        <v>63</v>
      </c>
      <c r="H51" s="21" t="s">
        <v>9</v>
      </c>
      <c r="I51" s="3" t="s">
        <v>10</v>
      </c>
      <c r="J51" s="98"/>
      <c r="K51" s="100"/>
    </row>
    <row r="52" spans="1:11" ht="24.75">
      <c r="A52" s="101" t="s">
        <v>11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3"/>
    </row>
    <row r="53" spans="1:11" ht="22.5">
      <c r="A53" s="4" t="s">
        <v>12</v>
      </c>
      <c r="B53" s="5" t="s">
        <v>13</v>
      </c>
      <c r="C53" s="5" t="s">
        <v>14</v>
      </c>
      <c r="D53" s="6">
        <v>41020100</v>
      </c>
      <c r="E53" s="6"/>
      <c r="F53" s="16">
        <v>126817000</v>
      </c>
      <c r="G53" s="16">
        <v>247783000</v>
      </c>
      <c r="H53" s="22">
        <f>137657333.32+6882866.68+6882866.68+13765733.32+6882866.68+6882886.68+6882846.64+6882866.68+6882866.68+6882866.64+6882866.64+6882866.64+6882866.72+6882866.64+6882799.99+6882733.37</f>
        <v>247782999.99999997</v>
      </c>
      <c r="I53" s="29">
        <f aca="true" t="shared" si="3" ref="I53:I73">H53/G53*100</f>
        <v>99.99999999999999</v>
      </c>
      <c r="J53" s="7">
        <f>G53-H53</f>
        <v>0</v>
      </c>
      <c r="K53" s="86"/>
    </row>
    <row r="54" spans="1:11" ht="81.75">
      <c r="A54" s="23" t="s">
        <v>15</v>
      </c>
      <c r="B54" s="24" t="s">
        <v>16</v>
      </c>
      <c r="C54" s="24" t="s">
        <v>14</v>
      </c>
      <c r="D54" s="6">
        <v>41020200</v>
      </c>
      <c r="E54" s="10" t="s">
        <v>17</v>
      </c>
      <c r="F54" s="15">
        <v>677508800</v>
      </c>
      <c r="G54" s="15">
        <v>227846700</v>
      </c>
      <c r="H54" s="7">
        <f>18987200+18987200+18987200+18987200+18987200+18987200+18987200+18987200+18987200+18987200+18987200+18987500</f>
        <v>227846700</v>
      </c>
      <c r="I54" s="29">
        <f t="shared" si="3"/>
        <v>100</v>
      </c>
      <c r="J54" s="7">
        <f>G54-H54</f>
        <v>0</v>
      </c>
      <c r="K54" s="83"/>
    </row>
    <row r="55" spans="1:11" ht="61.5">
      <c r="A55" s="23" t="s">
        <v>66</v>
      </c>
      <c r="B55" s="24"/>
      <c r="C55" s="24"/>
      <c r="D55" s="6">
        <v>41021100</v>
      </c>
      <c r="E55" s="10"/>
      <c r="F55" s="15"/>
      <c r="G55" s="15">
        <v>23664700</v>
      </c>
      <c r="H55" s="7">
        <v>23664700</v>
      </c>
      <c r="I55" s="29">
        <f t="shared" si="3"/>
        <v>100</v>
      </c>
      <c r="J55" s="7">
        <f>G55-H55</f>
        <v>0</v>
      </c>
      <c r="K55" s="83"/>
    </row>
    <row r="56" spans="1:11" ht="61.5">
      <c r="A56" s="14" t="s">
        <v>51</v>
      </c>
      <c r="B56" s="24"/>
      <c r="C56" s="24"/>
      <c r="D56" s="6">
        <v>41030500</v>
      </c>
      <c r="E56" s="10"/>
      <c r="F56" s="15"/>
      <c r="G56" s="15">
        <f>1416390+1555098</f>
        <v>2971488</v>
      </c>
      <c r="H56" s="15">
        <f>1416390+1555098-K56</f>
        <v>2971486.24</v>
      </c>
      <c r="I56" s="29">
        <f t="shared" si="3"/>
        <v>99.99994077041536</v>
      </c>
      <c r="J56" s="7">
        <f>G56-H56-K56</f>
        <v>-2.2351742678949904E-10</v>
      </c>
      <c r="K56" s="66">
        <v>1.76</v>
      </c>
    </row>
    <row r="57" spans="1:11" ht="61.5">
      <c r="A57" s="14" t="s">
        <v>49</v>
      </c>
      <c r="B57" s="25"/>
      <c r="C57" s="25"/>
      <c r="D57" s="6">
        <v>41032300</v>
      </c>
      <c r="E57" s="13"/>
      <c r="F57" s="2"/>
      <c r="G57" s="15">
        <v>48300000</v>
      </c>
      <c r="H57" s="15">
        <f>41000000+12000000+43750000+4400000+4400000-57250000</f>
        <v>48300000</v>
      </c>
      <c r="I57" s="29">
        <f t="shared" si="3"/>
        <v>100</v>
      </c>
      <c r="J57" s="7">
        <f>G57-H57</f>
        <v>0</v>
      </c>
      <c r="K57" s="66"/>
    </row>
    <row r="58" spans="1:11" ht="61.5">
      <c r="A58" s="4" t="s">
        <v>45</v>
      </c>
      <c r="B58" s="5"/>
      <c r="C58" s="5"/>
      <c r="D58" s="6">
        <v>41033000</v>
      </c>
      <c r="E58" s="6"/>
      <c r="F58" s="15"/>
      <c r="G58" s="15">
        <f>90319500+15756000+7978900+5000000</f>
        <v>119054400</v>
      </c>
      <c r="H58" s="7">
        <f>54071050+4257450+4260850+4260850+4238900-K58+4238900+4238950+4238950+4238950+4238950+2242150+2242150+4484400-34100+2411500+2411500+8013000+5000000</f>
        <v>119013761.1</v>
      </c>
      <c r="I58" s="29">
        <f t="shared" si="3"/>
        <v>99.96586526831432</v>
      </c>
      <c r="J58" s="7">
        <f>G58-H58-40638.9</f>
        <v>5.959009286016226E-09</v>
      </c>
      <c r="K58" s="66">
        <f>40638.9</f>
        <v>40638.9</v>
      </c>
    </row>
    <row r="59" spans="1:11" ht="81.75">
      <c r="A59" s="4" t="s">
        <v>65</v>
      </c>
      <c r="B59" s="5"/>
      <c r="C59" s="5"/>
      <c r="D59" s="6">
        <v>41033400</v>
      </c>
      <c r="E59" s="6"/>
      <c r="F59" s="15"/>
      <c r="G59" s="15">
        <v>6122400</v>
      </c>
      <c r="H59" s="7">
        <v>6122400</v>
      </c>
      <c r="I59" s="29">
        <f t="shared" si="3"/>
        <v>100</v>
      </c>
      <c r="J59" s="7">
        <f>G59-H59-K59</f>
        <v>0</v>
      </c>
      <c r="K59" s="77"/>
    </row>
    <row r="60" spans="1:11" ht="61.5">
      <c r="A60" s="4" t="s">
        <v>58</v>
      </c>
      <c r="B60" s="5"/>
      <c r="C60" s="5"/>
      <c r="D60" s="6">
        <v>41033800</v>
      </c>
      <c r="E60" s="6"/>
      <c r="F60" s="15"/>
      <c r="G60" s="15">
        <v>3160000</v>
      </c>
      <c r="H60" s="7">
        <f>1053300+2106700</f>
        <v>3160000</v>
      </c>
      <c r="I60" s="29">
        <f t="shared" si="3"/>
        <v>100</v>
      </c>
      <c r="J60" s="7">
        <f>G60-H60-K60</f>
        <v>0</v>
      </c>
      <c r="K60" s="77"/>
    </row>
    <row r="61" spans="1:11" ht="40.5">
      <c r="A61" s="4" t="s">
        <v>19</v>
      </c>
      <c r="B61" s="5" t="s">
        <v>20</v>
      </c>
      <c r="C61" s="5" t="s">
        <v>14</v>
      </c>
      <c r="D61" s="6">
        <v>41033900</v>
      </c>
      <c r="E61" s="6"/>
      <c r="F61" s="15">
        <v>112543600</v>
      </c>
      <c r="G61" s="15">
        <f>157082200+34856900</f>
        <v>191939100</v>
      </c>
      <c r="H61" s="7">
        <f>96314000+3144650+3084650+6514450+6514450+6593800+6593800+6831300+6831300+7329900+7329900+34856900</f>
        <v>191939100</v>
      </c>
      <c r="I61" s="29">
        <f t="shared" si="3"/>
        <v>100</v>
      </c>
      <c r="J61" s="7">
        <f>G61-H61</f>
        <v>0</v>
      </c>
      <c r="K61" s="83"/>
    </row>
    <row r="62" spans="1:11" ht="123">
      <c r="A62" s="4" t="s">
        <v>21</v>
      </c>
      <c r="B62" s="5" t="s">
        <v>22</v>
      </c>
      <c r="C62" s="5" t="s">
        <v>23</v>
      </c>
      <c r="D62" s="6">
        <v>41034400</v>
      </c>
      <c r="E62" s="10" t="s">
        <v>24</v>
      </c>
      <c r="F62" s="15">
        <v>6386400</v>
      </c>
      <c r="G62" s="15">
        <v>16298000</v>
      </c>
      <c r="H62" s="7">
        <f>3936000+984000+1775400+2571900+2531400+4499300-K62</f>
        <v>16178659.75</v>
      </c>
      <c r="I62" s="29">
        <f t="shared" si="3"/>
        <v>99.26776138176463</v>
      </c>
      <c r="J62" s="7">
        <f>G62-H62-K62</f>
        <v>0</v>
      </c>
      <c r="K62" s="66">
        <v>119340.25</v>
      </c>
    </row>
    <row r="63" spans="1:11" ht="61.5">
      <c r="A63" s="14" t="s">
        <v>48</v>
      </c>
      <c r="B63" s="5"/>
      <c r="C63" s="5"/>
      <c r="D63" s="6">
        <v>41034500</v>
      </c>
      <c r="E63" s="10"/>
      <c r="F63" s="15"/>
      <c r="G63" s="15">
        <v>30832000</v>
      </c>
      <c r="H63" s="7">
        <v>30832000</v>
      </c>
      <c r="I63" s="29">
        <f t="shared" si="3"/>
        <v>100</v>
      </c>
      <c r="J63" s="7">
        <f>G63-H63</f>
        <v>0</v>
      </c>
      <c r="K63" s="83"/>
    </row>
    <row r="64" spans="1:11" ht="61.5">
      <c r="A64" s="14" t="s">
        <v>60</v>
      </c>
      <c r="B64" s="5"/>
      <c r="C64" s="5"/>
      <c r="D64" s="6">
        <v>41035300</v>
      </c>
      <c r="E64" s="10"/>
      <c r="F64" s="15"/>
      <c r="G64" s="15">
        <v>909400</v>
      </c>
      <c r="H64" s="7">
        <f>80000+559700+116300+153400</f>
        <v>909400</v>
      </c>
      <c r="I64" s="29">
        <f t="shared" si="3"/>
        <v>100</v>
      </c>
      <c r="J64" s="7">
        <f>G64-H64</f>
        <v>0</v>
      </c>
      <c r="K64" s="83"/>
    </row>
    <row r="65" spans="1:11" ht="61.5">
      <c r="A65" s="14" t="s">
        <v>40</v>
      </c>
      <c r="B65" s="9" t="s">
        <v>38</v>
      </c>
      <c r="C65" s="9" t="s">
        <v>39</v>
      </c>
      <c r="D65" s="6">
        <v>41035400</v>
      </c>
      <c r="E65" s="10"/>
      <c r="F65" s="15">
        <v>8932700</v>
      </c>
      <c r="G65" s="15">
        <f>11682000+5927800</f>
        <v>17609800</v>
      </c>
      <c r="H65" s="7">
        <f>4867500+973500+1745400+973500+973500+973500+973500+2718900+3410500</f>
        <v>17609800</v>
      </c>
      <c r="I65" s="29">
        <f t="shared" si="3"/>
        <v>100</v>
      </c>
      <c r="J65" s="7">
        <f>G65-H65</f>
        <v>0</v>
      </c>
      <c r="K65" s="83"/>
    </row>
    <row r="66" spans="1:11" ht="81.75">
      <c r="A66" s="71" t="s">
        <v>57</v>
      </c>
      <c r="B66" s="67"/>
      <c r="C66" s="67"/>
      <c r="D66" s="68">
        <v>41035600</v>
      </c>
      <c r="E66" s="10"/>
      <c r="F66" s="15"/>
      <c r="G66" s="15">
        <v>1594916</v>
      </c>
      <c r="H66" s="7">
        <f>23806+374999+23806+374999+23806+374999+23498+375003</f>
        <v>1594916</v>
      </c>
      <c r="I66" s="29">
        <f t="shared" si="3"/>
        <v>100</v>
      </c>
      <c r="J66" s="7">
        <f>G66-H66</f>
        <v>0</v>
      </c>
      <c r="K66" s="83"/>
    </row>
    <row r="67" spans="1:11" ht="61.5">
      <c r="A67" s="14" t="s">
        <v>47</v>
      </c>
      <c r="B67" s="9" t="s">
        <v>38</v>
      </c>
      <c r="C67" s="9" t="s">
        <v>39</v>
      </c>
      <c r="D67" s="6">
        <v>41035900</v>
      </c>
      <c r="E67" s="10"/>
      <c r="F67" s="15">
        <v>8932700</v>
      </c>
      <c r="G67" s="15">
        <f>546100+15557800+9643200-284200</f>
        <v>25462900</v>
      </c>
      <c r="H67" s="7">
        <f>6460600+1285800+3214400+5143100-284200+9643200-K67</f>
        <v>25462875</v>
      </c>
      <c r="I67" s="29">
        <f t="shared" si="3"/>
        <v>99.99990181793905</v>
      </c>
      <c r="J67" s="7">
        <f>G67-H67-25</f>
        <v>0</v>
      </c>
      <c r="K67" s="66">
        <f>25</f>
        <v>25</v>
      </c>
    </row>
    <row r="68" spans="1:11" ht="61.5">
      <c r="A68" s="14" t="s">
        <v>56</v>
      </c>
      <c r="B68" s="9"/>
      <c r="C68" s="9"/>
      <c r="D68" s="6">
        <v>41036100</v>
      </c>
      <c r="E68" s="10"/>
      <c r="F68" s="15"/>
      <c r="G68" s="15">
        <v>3164659</v>
      </c>
      <c r="H68" s="7">
        <f>3164659-K68</f>
        <v>3164106.73</v>
      </c>
      <c r="I68" s="29">
        <f t="shared" si="3"/>
        <v>99.9825488306955</v>
      </c>
      <c r="J68" s="7">
        <f>G68-H68-K68</f>
        <v>1.864464138634503E-11</v>
      </c>
      <c r="K68" s="66">
        <v>552.27</v>
      </c>
    </row>
    <row r="69" spans="1:11" ht="61.5">
      <c r="A69" s="14" t="s">
        <v>53</v>
      </c>
      <c r="B69" s="9"/>
      <c r="C69" s="9"/>
      <c r="D69" s="6">
        <v>41036400</v>
      </c>
      <c r="E69" s="10"/>
      <c r="F69" s="15"/>
      <c r="G69" s="15">
        <v>1601947</v>
      </c>
      <c r="H69" s="7">
        <f>1601947-K69</f>
        <v>1601946.39</v>
      </c>
      <c r="I69" s="29">
        <f t="shared" si="3"/>
        <v>99.99996192133696</v>
      </c>
      <c r="J69" s="7">
        <f>G69-H69-K69</f>
        <v>1.0244549653037893E-10</v>
      </c>
      <c r="K69" s="66">
        <v>0.61</v>
      </c>
    </row>
    <row r="70" spans="1:11" ht="40.5">
      <c r="A70" s="14" t="s">
        <v>59</v>
      </c>
      <c r="B70" s="9"/>
      <c r="C70" s="9"/>
      <c r="D70" s="6">
        <v>41037000</v>
      </c>
      <c r="E70" s="10"/>
      <c r="F70" s="15"/>
      <c r="G70" s="15">
        <v>1305800</v>
      </c>
      <c r="H70" s="7">
        <f>68300+651300+586200-K70</f>
        <v>898345.65</v>
      </c>
      <c r="I70" s="29">
        <f t="shared" si="3"/>
        <v>68.79657298207995</v>
      </c>
      <c r="J70" s="7">
        <f>G70-H70-K70</f>
        <v>0</v>
      </c>
      <c r="K70" s="66">
        <v>407454.35</v>
      </c>
    </row>
    <row r="71" spans="1:11" ht="81.75">
      <c r="A71" s="14" t="s">
        <v>52</v>
      </c>
      <c r="B71" s="9"/>
      <c r="C71" s="9"/>
      <c r="D71" s="6">
        <v>41037200</v>
      </c>
      <c r="E71" s="10"/>
      <c r="F71" s="15"/>
      <c r="G71" s="15">
        <f>27105900+11101800-2534700-500000</f>
        <v>35173000</v>
      </c>
      <c r="H71" s="7">
        <f>14900800+4163200+9554300+9589400-2534700-500000-K71</f>
        <v>30432677.34</v>
      </c>
      <c r="I71" s="29">
        <f t="shared" si="3"/>
        <v>86.52283666448697</v>
      </c>
      <c r="J71" s="7">
        <f>G71-H71-4738522.66-1800</f>
        <v>0</v>
      </c>
      <c r="K71" s="66">
        <f>4738522.66+1800</f>
        <v>4740322.66</v>
      </c>
    </row>
    <row r="72" spans="1:11" ht="61.5">
      <c r="A72" s="14" t="s">
        <v>62</v>
      </c>
      <c r="B72" s="9"/>
      <c r="C72" s="9"/>
      <c r="D72" s="6">
        <v>41039100</v>
      </c>
      <c r="E72" s="10"/>
      <c r="F72" s="15"/>
      <c r="G72" s="15">
        <v>17414400</v>
      </c>
      <c r="H72" s="7">
        <f>17414400-K72</f>
        <v>16652662.05</v>
      </c>
      <c r="I72" s="29">
        <f t="shared" si="3"/>
        <v>95.62581570424477</v>
      </c>
      <c r="J72" s="7">
        <f>G72-H72-K72</f>
        <v>0</v>
      </c>
      <c r="K72" s="66">
        <v>761737.95</v>
      </c>
    </row>
    <row r="73" spans="1:11" s="26" customFormat="1" ht="39.75">
      <c r="A73" s="11" t="s">
        <v>35</v>
      </c>
      <c r="B73" s="12"/>
      <c r="C73" s="12"/>
      <c r="D73" s="13"/>
      <c r="E73" s="13"/>
      <c r="F73" s="2">
        <f>SUM(F53:F67)</f>
        <v>941121200</v>
      </c>
      <c r="G73" s="2">
        <f>SUM(G53:G72)</f>
        <v>1022208610</v>
      </c>
      <c r="H73" s="2">
        <f>SUM(H53:H72)</f>
        <v>1016138536.25</v>
      </c>
      <c r="I73" s="30">
        <f t="shared" si="3"/>
        <v>99.4061805300192</v>
      </c>
      <c r="J73" s="2">
        <f>SUM(J53:J71)</f>
        <v>5.856581997143451E-09</v>
      </c>
      <c r="K73" s="8">
        <f>SUM(K53:K72)</f>
        <v>6070073.75</v>
      </c>
    </row>
    <row r="74" spans="1:11" ht="24.75">
      <c r="A74" s="101" t="s">
        <v>27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1" ht="61.5">
      <c r="A75" s="4" t="s">
        <v>45</v>
      </c>
      <c r="B75" s="5"/>
      <c r="C75" s="5"/>
      <c r="D75" s="6">
        <v>41033000</v>
      </c>
      <c r="E75" s="74"/>
      <c r="F75" s="74"/>
      <c r="G75" s="73">
        <f>13154000+3553700</f>
        <v>16707700</v>
      </c>
      <c r="H75" s="73">
        <f>13154000+3553700-K75</f>
        <v>16707685</v>
      </c>
      <c r="I75" s="29">
        <f>H75/G75*100</f>
        <v>99.99991022103582</v>
      </c>
      <c r="J75" s="7">
        <f>G75-H75-K75</f>
        <v>0</v>
      </c>
      <c r="K75" s="88">
        <v>15</v>
      </c>
    </row>
    <row r="76" spans="1:11" ht="61.5">
      <c r="A76" s="14" t="s">
        <v>67</v>
      </c>
      <c r="B76" s="9"/>
      <c r="C76" s="9"/>
      <c r="D76" s="6">
        <v>41036600</v>
      </c>
      <c r="E76" s="10"/>
      <c r="F76" s="15"/>
      <c r="G76" s="15">
        <v>125165600</v>
      </c>
      <c r="H76" s="73">
        <v>110894103.92</v>
      </c>
      <c r="I76" s="29">
        <f>H76/G76*100</f>
        <v>88.59790862665142</v>
      </c>
      <c r="J76" s="7">
        <f>G76-H76</f>
        <v>14271496.079999998</v>
      </c>
      <c r="K76" s="78"/>
    </row>
    <row r="77" spans="1:11" ht="123">
      <c r="A77" s="4" t="s">
        <v>28</v>
      </c>
      <c r="B77" s="9" t="s">
        <v>29</v>
      </c>
      <c r="C77" s="32">
        <v>3220</v>
      </c>
      <c r="D77" s="6">
        <v>41037300</v>
      </c>
      <c r="E77" s="6"/>
      <c r="F77" s="15">
        <v>182873000</v>
      </c>
      <c r="G77" s="15">
        <f>364268700+33851500</f>
        <v>398120200</v>
      </c>
      <c r="H77" s="7">
        <f>185334800+28842300+32595300+29094300+25554500+33376500+29471000+33851500</f>
        <v>398120200</v>
      </c>
      <c r="I77" s="29">
        <f>H77/G77*100</f>
        <v>100</v>
      </c>
      <c r="J77" s="7">
        <f>G77-H77</f>
        <v>0</v>
      </c>
      <c r="K77" s="87"/>
    </row>
    <row r="78" spans="1:11" s="26" customFormat="1" ht="39.75">
      <c r="A78" s="11" t="s">
        <v>36</v>
      </c>
      <c r="B78" s="12"/>
      <c r="C78" s="12"/>
      <c r="D78" s="13"/>
      <c r="E78" s="13"/>
      <c r="F78" s="2">
        <f>SUM(F77:F77)</f>
        <v>182873000</v>
      </c>
      <c r="G78" s="2">
        <f>SUM(G75:G77)</f>
        <v>539993500</v>
      </c>
      <c r="H78" s="2">
        <f>SUM(H75:H77)</f>
        <v>525721988.92</v>
      </c>
      <c r="I78" s="30">
        <f>H78/G78*100</f>
        <v>97.35709576504162</v>
      </c>
      <c r="J78" s="2">
        <f>SUM(J77:J77)</f>
        <v>0</v>
      </c>
      <c r="K78" s="8">
        <f>SUM(K75:K77)</f>
        <v>15</v>
      </c>
    </row>
    <row r="79" spans="1:11" s="26" customFormat="1" ht="39.75">
      <c r="A79" s="11" t="s">
        <v>37</v>
      </c>
      <c r="B79" s="12"/>
      <c r="C79" s="12"/>
      <c r="D79" s="13"/>
      <c r="E79" s="13"/>
      <c r="F79" s="2">
        <f>F73+F78</f>
        <v>1123994200</v>
      </c>
      <c r="G79" s="2">
        <f>G73+G78</f>
        <v>1562202110</v>
      </c>
      <c r="H79" s="8">
        <f>H73+H78</f>
        <v>1541860525.17</v>
      </c>
      <c r="I79" s="30">
        <f>H79/G79*100</f>
        <v>98.69789032419115</v>
      </c>
      <c r="J79" s="8">
        <f>J73+J78</f>
        <v>5.856581997143451E-09</v>
      </c>
      <c r="K79" s="8">
        <f>K73+K78</f>
        <v>6070088.75</v>
      </c>
    </row>
    <row r="80" spans="1:10" ht="22.5">
      <c r="A80" s="33"/>
      <c r="B80" s="34"/>
      <c r="C80" s="34"/>
      <c r="D80" s="46"/>
      <c r="E80" s="46"/>
      <c r="F80" s="40"/>
      <c r="G80" s="61"/>
      <c r="H80" s="62"/>
      <c r="I80" s="48"/>
      <c r="J80" s="47"/>
    </row>
    <row r="81" spans="1:10" ht="22.5">
      <c r="A81" s="33"/>
      <c r="B81" s="34"/>
      <c r="C81" s="34"/>
      <c r="D81" s="46"/>
      <c r="E81" s="46"/>
      <c r="F81" s="40"/>
      <c r="G81" s="61"/>
      <c r="H81" s="62"/>
      <c r="I81" s="48"/>
      <c r="J81" s="47"/>
    </row>
    <row r="82" spans="1:10" ht="22.5">
      <c r="A82" s="33"/>
      <c r="B82" s="34"/>
      <c r="C82" s="34"/>
      <c r="D82" s="46"/>
      <c r="E82" s="46"/>
      <c r="F82" s="40"/>
      <c r="G82" s="61"/>
      <c r="H82" s="62"/>
      <c r="I82" s="48"/>
      <c r="J82" s="47"/>
    </row>
    <row r="83" spans="1:10" ht="22.5">
      <c r="A83" s="33"/>
      <c r="B83" s="34"/>
      <c r="C83" s="34"/>
      <c r="D83" s="46"/>
      <c r="E83" s="46"/>
      <c r="F83" s="40"/>
      <c r="G83" s="61"/>
      <c r="H83" s="62"/>
      <c r="I83" s="48"/>
      <c r="J83" s="47"/>
    </row>
    <row r="84" spans="1:10" ht="22.5">
      <c r="A84" s="33"/>
      <c r="B84" s="34"/>
      <c r="C84" s="34"/>
      <c r="D84" s="46"/>
      <c r="E84" s="46"/>
      <c r="F84" s="40"/>
      <c r="G84" s="61"/>
      <c r="H84" s="62"/>
      <c r="I84" s="48"/>
      <c r="J84" s="47"/>
    </row>
    <row r="85" spans="1:10" ht="22.5">
      <c r="A85" s="33"/>
      <c r="B85" s="34"/>
      <c r="C85" s="34"/>
      <c r="D85" s="46"/>
      <c r="E85" s="46"/>
      <c r="F85" s="40"/>
      <c r="G85" s="61"/>
      <c r="H85" s="62"/>
      <c r="I85" s="48"/>
      <c r="J85" s="47"/>
    </row>
    <row r="86" spans="1:11" s="52" customFormat="1" ht="22.5">
      <c r="A86" s="49"/>
      <c r="B86" s="50"/>
      <c r="C86" s="50"/>
      <c r="D86" s="1"/>
      <c r="E86" s="1"/>
      <c r="F86" s="41"/>
      <c r="G86" s="63"/>
      <c r="H86" s="64"/>
      <c r="I86" s="51"/>
      <c r="J86" s="1"/>
      <c r="K86" s="85"/>
    </row>
  </sheetData>
  <sheetProtection/>
  <mergeCells count="26">
    <mergeCell ref="A1:K1"/>
    <mergeCell ref="A2:K2"/>
    <mergeCell ref="A4:A5"/>
    <mergeCell ref="B4:B5"/>
    <mergeCell ref="C4:C5"/>
    <mergeCell ref="D4:D5"/>
    <mergeCell ref="E4:E5"/>
    <mergeCell ref="F4:G4"/>
    <mergeCell ref="H4:I4"/>
    <mergeCell ref="J4:J5"/>
    <mergeCell ref="K4:K5"/>
    <mergeCell ref="A6:K6"/>
    <mergeCell ref="A35:K35"/>
    <mergeCell ref="A47:K47"/>
    <mergeCell ref="A48:K48"/>
    <mergeCell ref="A50:A51"/>
    <mergeCell ref="B50:B51"/>
    <mergeCell ref="C50:C51"/>
    <mergeCell ref="D50:D51"/>
    <mergeCell ref="E50:E51"/>
    <mergeCell ref="F50:G50"/>
    <mergeCell ref="H50:I50"/>
    <mergeCell ref="J50:J51"/>
    <mergeCell ref="K50:K51"/>
    <mergeCell ref="A52:K52"/>
    <mergeCell ref="A74:K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="60" zoomScaleNormal="50" zoomScalePageLayoutView="0" workbookViewId="0" topLeftCell="A38">
      <selection activeCell="A46" sqref="A46:IV79"/>
    </sheetView>
  </sheetViews>
  <sheetFormatPr defaultColWidth="14.140625" defaultRowHeight="15"/>
  <cols>
    <col min="1" max="1" width="116.421875" style="49" customWidth="1"/>
    <col min="2" max="2" width="14.140625" style="50" hidden="1" customWidth="1"/>
    <col min="3" max="3" width="10.57421875" style="50" hidden="1" customWidth="1"/>
    <col min="4" max="4" width="27.57421875" style="1" customWidth="1"/>
    <col min="5" max="5" width="8.421875" style="1" hidden="1" customWidth="1"/>
    <col min="6" max="6" width="25.57421875" style="41" hidden="1" customWidth="1"/>
    <col min="7" max="7" width="35.00390625" style="63" customWidth="1"/>
    <col min="8" max="8" width="40.00390625" style="64" customWidth="1"/>
    <col min="9" max="9" width="19.00390625" style="51" customWidth="1"/>
    <col min="10" max="10" width="29.421875" style="1" customWidth="1"/>
    <col min="11" max="11" width="27.140625" style="84" customWidth="1"/>
    <col min="12" max="12" width="0.13671875" style="1" customWidth="1"/>
    <col min="13" max="16384" width="14.140625" style="1" customWidth="1"/>
  </cols>
  <sheetData>
    <row r="1" spans="1:11" s="17" customFormat="1" ht="22.5" customHeight="1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7" customFormat="1" ht="22.5">
      <c r="A2" s="105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7" customFormat="1" ht="22.5">
      <c r="A3" s="18"/>
      <c r="B3" s="18"/>
      <c r="C3" s="18"/>
      <c r="D3" s="18"/>
      <c r="E3" s="18"/>
      <c r="F3" s="19"/>
      <c r="G3" s="53"/>
      <c r="H3" s="54"/>
      <c r="I3" s="18"/>
      <c r="J3" s="27" t="s">
        <v>42</v>
      </c>
      <c r="K3" s="79"/>
    </row>
    <row r="4" spans="1:11" ht="21" customHeight="1">
      <c r="A4" s="106" t="s">
        <v>0</v>
      </c>
      <c r="B4" s="108" t="s">
        <v>1</v>
      </c>
      <c r="C4" s="108" t="s">
        <v>2</v>
      </c>
      <c r="D4" s="108" t="s">
        <v>3</v>
      </c>
      <c r="E4" s="110" t="s">
        <v>4</v>
      </c>
      <c r="F4" s="93" t="s">
        <v>5</v>
      </c>
      <c r="G4" s="94"/>
      <c r="H4" s="95" t="s">
        <v>6</v>
      </c>
      <c r="I4" s="96"/>
      <c r="J4" s="97" t="s">
        <v>7</v>
      </c>
      <c r="K4" s="99" t="s">
        <v>50</v>
      </c>
    </row>
    <row r="5" spans="1:11" ht="45" customHeight="1">
      <c r="A5" s="107"/>
      <c r="B5" s="109"/>
      <c r="C5" s="109"/>
      <c r="D5" s="109"/>
      <c r="E5" s="111"/>
      <c r="F5" s="20" t="s">
        <v>8</v>
      </c>
      <c r="G5" s="20" t="s">
        <v>46</v>
      </c>
      <c r="H5" s="21" t="s">
        <v>9</v>
      </c>
      <c r="I5" s="3" t="s">
        <v>10</v>
      </c>
      <c r="J5" s="98"/>
      <c r="K5" s="100"/>
    </row>
    <row r="6" spans="1:11" ht="24.75">
      <c r="A6" s="101" t="s">
        <v>11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11" ht="22.5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561257500</v>
      </c>
      <c r="G7" s="15">
        <v>1098332200</v>
      </c>
      <c r="H7" s="7">
        <f>610185333.38+30509266.62+30509266.62+61018533.38+30509266.62+61018533.38+30509266.62+30509266.62+30509266.76+30509266.76+30509266.76+30509266.48+30509266.76+30509266.76+30507866.48</f>
        <v>1098332200</v>
      </c>
      <c r="I7" s="29">
        <f aca="true" t="shared" si="0" ref="I7:I34">H7/G7*100</f>
        <v>100</v>
      </c>
      <c r="J7" s="7">
        <f>G7-H7</f>
        <v>0</v>
      </c>
      <c r="K7" s="65"/>
    </row>
    <row r="8" spans="1:11" ht="61.5" customHeight="1">
      <c r="A8" s="23" t="s">
        <v>15</v>
      </c>
      <c r="B8" s="24" t="s">
        <v>16</v>
      </c>
      <c r="C8" s="24" t="s">
        <v>14</v>
      </c>
      <c r="D8" s="6">
        <v>41020200</v>
      </c>
      <c r="E8" s="10" t="s">
        <v>17</v>
      </c>
      <c r="F8" s="15">
        <v>677508800</v>
      </c>
      <c r="G8" s="15">
        <v>227846700</v>
      </c>
      <c r="H8" s="7">
        <f>18987200+18987200+18987200+18987200+18987200+18987200+18987200+18987200+18987200+18987200+18987200+18987500</f>
        <v>227846700</v>
      </c>
      <c r="I8" s="29">
        <f t="shared" si="0"/>
        <v>100</v>
      </c>
      <c r="J8" s="7">
        <f>G8-H8</f>
        <v>0</v>
      </c>
      <c r="K8" s="65"/>
    </row>
    <row r="9" spans="1:11" ht="50.25" customHeight="1">
      <c r="A9" s="23" t="s">
        <v>66</v>
      </c>
      <c r="B9" s="24"/>
      <c r="C9" s="24"/>
      <c r="D9" s="6">
        <v>41021100</v>
      </c>
      <c r="E9" s="10"/>
      <c r="F9" s="15"/>
      <c r="G9" s="15">
        <v>23664700</v>
      </c>
      <c r="H9" s="7">
        <v>23664700</v>
      </c>
      <c r="I9" s="29">
        <f t="shared" si="0"/>
        <v>100</v>
      </c>
      <c r="J9" s="7">
        <f>G9-H9</f>
        <v>0</v>
      </c>
      <c r="K9" s="65"/>
    </row>
    <row r="10" spans="1:11" s="26" customFormat="1" ht="22.5">
      <c r="A10" s="11" t="s">
        <v>18</v>
      </c>
      <c r="B10" s="25"/>
      <c r="C10" s="25"/>
      <c r="D10" s="13"/>
      <c r="E10" s="13"/>
      <c r="F10" s="2">
        <f>SUM(F7:F8)</f>
        <v>1238766300</v>
      </c>
      <c r="G10" s="2">
        <f>G7+G8+G9</f>
        <v>1349843600</v>
      </c>
      <c r="H10" s="2">
        <f>H7+H8+H9</f>
        <v>1349843600</v>
      </c>
      <c r="I10" s="30">
        <f t="shared" si="0"/>
        <v>100</v>
      </c>
      <c r="J10" s="2">
        <f>J7+J8+J9</f>
        <v>0</v>
      </c>
      <c r="K10" s="2">
        <f>K7+K8+K9</f>
        <v>0</v>
      </c>
    </row>
    <row r="11" spans="1:11" s="26" customFormat="1" ht="40.5">
      <c r="A11" s="14" t="s">
        <v>51</v>
      </c>
      <c r="B11" s="25"/>
      <c r="C11" s="25"/>
      <c r="D11" s="6">
        <v>41030500</v>
      </c>
      <c r="E11" s="13"/>
      <c r="F11" s="2"/>
      <c r="G11" s="15">
        <f>1416390+1555098</f>
        <v>2971488</v>
      </c>
      <c r="H11" s="15">
        <f>1416390+1555098-K11</f>
        <v>2971486.24</v>
      </c>
      <c r="I11" s="29">
        <f t="shared" si="0"/>
        <v>99.99994077041536</v>
      </c>
      <c r="J11" s="7">
        <f>G11-H11-K11</f>
        <v>-2.2351742678949904E-10</v>
      </c>
      <c r="K11" s="65">
        <v>1.76</v>
      </c>
    </row>
    <row r="12" spans="1:11" s="26" customFormat="1" ht="43.5" customHeight="1">
      <c r="A12" s="14" t="s">
        <v>49</v>
      </c>
      <c r="B12" s="25"/>
      <c r="C12" s="25"/>
      <c r="D12" s="6">
        <v>41032300</v>
      </c>
      <c r="E12" s="13"/>
      <c r="F12" s="2"/>
      <c r="G12" s="15">
        <v>48300000</v>
      </c>
      <c r="H12" s="15">
        <f>41000000+12000000+43750000-57250000+4400000+4400000</f>
        <v>48300000</v>
      </c>
      <c r="I12" s="29">
        <f t="shared" si="0"/>
        <v>100</v>
      </c>
      <c r="J12" s="7">
        <f>G12-H12</f>
        <v>0</v>
      </c>
      <c r="K12" s="75"/>
    </row>
    <row r="13" spans="1:11" s="26" customFormat="1" ht="54" customHeight="1">
      <c r="A13" s="89" t="s">
        <v>69</v>
      </c>
      <c r="B13" s="25"/>
      <c r="C13" s="25"/>
      <c r="D13" s="6">
        <v>41032500</v>
      </c>
      <c r="E13" s="13"/>
      <c r="F13" s="2"/>
      <c r="G13" s="15">
        <v>1229510</v>
      </c>
      <c r="H13" s="15">
        <v>1229510</v>
      </c>
      <c r="I13" s="29">
        <f t="shared" si="0"/>
        <v>100</v>
      </c>
      <c r="J13" s="7">
        <f>G13-H13</f>
        <v>0</v>
      </c>
      <c r="K13" s="75"/>
    </row>
    <row r="14" spans="1:11" s="26" customFormat="1" ht="40.5">
      <c r="A14" s="14" t="s">
        <v>61</v>
      </c>
      <c r="B14" s="25"/>
      <c r="C14" s="25"/>
      <c r="D14" s="6">
        <v>41032700</v>
      </c>
      <c r="E14" s="13"/>
      <c r="F14" s="2"/>
      <c r="G14" s="15">
        <v>39999000</v>
      </c>
      <c r="H14" s="15">
        <f>14013400+12011100+13974500-K14</f>
        <v>39651888.84</v>
      </c>
      <c r="I14" s="29">
        <f t="shared" si="0"/>
        <v>99.13220040501012</v>
      </c>
      <c r="J14" s="7">
        <f>G14-H14-K14</f>
        <v>-3.550667315721512E-09</v>
      </c>
      <c r="K14" s="7">
        <v>347111.16</v>
      </c>
    </row>
    <row r="15" spans="1:11" ht="40.5">
      <c r="A15" s="4" t="s">
        <v>45</v>
      </c>
      <c r="B15" s="5"/>
      <c r="C15" s="5"/>
      <c r="D15" s="6">
        <v>41033000</v>
      </c>
      <c r="E15" s="6"/>
      <c r="F15" s="15"/>
      <c r="G15" s="15">
        <f>90319500+15756000+7978900+5000000</f>
        <v>119054400</v>
      </c>
      <c r="H15" s="7">
        <f>54071050+4257450+4260850+4260850+4238900-34100+4238900+4238950+4238950+4238950+4238950+2242150+2242150+4484400+2411500+2411500+8013000+5000000-K15</f>
        <v>119013761.1</v>
      </c>
      <c r="I15" s="29">
        <f t="shared" si="0"/>
        <v>99.96586526831432</v>
      </c>
      <c r="J15" s="7">
        <f>G15-H15-K15</f>
        <v>5.959009286016226E-09</v>
      </c>
      <c r="K15" s="65">
        <v>40638.9</v>
      </c>
    </row>
    <row r="16" spans="1:11" ht="40.5">
      <c r="A16" s="4" t="s">
        <v>65</v>
      </c>
      <c r="B16" s="5"/>
      <c r="C16" s="5"/>
      <c r="D16" s="6">
        <v>41033400</v>
      </c>
      <c r="E16" s="6"/>
      <c r="F16" s="15"/>
      <c r="G16" s="15">
        <v>6122400</v>
      </c>
      <c r="H16" s="7">
        <v>6122400</v>
      </c>
      <c r="I16" s="29">
        <f t="shared" si="0"/>
        <v>100</v>
      </c>
      <c r="J16" s="7">
        <f>G16-H16-K16</f>
        <v>0</v>
      </c>
      <c r="K16" s="76"/>
    </row>
    <row r="17" spans="1:11" ht="40.5">
      <c r="A17" s="4" t="s">
        <v>58</v>
      </c>
      <c r="B17" s="5"/>
      <c r="C17" s="5"/>
      <c r="D17" s="6">
        <v>41033800</v>
      </c>
      <c r="E17" s="6"/>
      <c r="F17" s="15"/>
      <c r="G17" s="15">
        <v>5718700</v>
      </c>
      <c r="H17" s="7">
        <f>1906200+3812500-K17</f>
        <v>5624613</v>
      </c>
      <c r="I17" s="29">
        <f t="shared" si="0"/>
        <v>98.3547484568171</v>
      </c>
      <c r="J17" s="7">
        <f>G17-H17-K17</f>
        <v>0</v>
      </c>
      <c r="K17" s="65">
        <v>94087</v>
      </c>
    </row>
    <row r="18" spans="1:11" ht="22.5">
      <c r="A18" s="4" t="s">
        <v>19</v>
      </c>
      <c r="B18" s="5" t="s">
        <v>20</v>
      </c>
      <c r="C18" s="5" t="s">
        <v>14</v>
      </c>
      <c r="D18" s="6">
        <v>41033900</v>
      </c>
      <c r="E18" s="6"/>
      <c r="F18" s="15">
        <v>1688826300</v>
      </c>
      <c r="G18" s="15">
        <f>2668824700+34856900+2534700</f>
        <v>2706216300</v>
      </c>
      <c r="H18" s="7">
        <f>1636373600+52917850+52917850+110680400+110680400+112028600+112028600+116063450+116063450+124535250+124535250+34856900+2534700</f>
        <v>2706216300</v>
      </c>
      <c r="I18" s="29">
        <f t="shared" si="0"/>
        <v>100</v>
      </c>
      <c r="J18" s="7">
        <f aca="true" t="shared" si="1" ref="J18:J24">G18-H18</f>
        <v>0</v>
      </c>
      <c r="K18" s="76"/>
    </row>
    <row r="19" spans="1:11" ht="91.5" customHeight="1">
      <c r="A19" s="4" t="s">
        <v>21</v>
      </c>
      <c r="B19" s="5" t="s">
        <v>22</v>
      </c>
      <c r="C19" s="5" t="s">
        <v>23</v>
      </c>
      <c r="D19" s="6">
        <v>41034400</v>
      </c>
      <c r="E19" s="10" t="s">
        <v>24</v>
      </c>
      <c r="F19" s="15">
        <v>6386400</v>
      </c>
      <c r="G19" s="15">
        <v>16298000</v>
      </c>
      <c r="H19" s="7">
        <f>3936000+984000+1775400+2571900+2531400+4499300-K19</f>
        <v>16178659.75</v>
      </c>
      <c r="I19" s="29">
        <f t="shared" si="0"/>
        <v>99.26776138176463</v>
      </c>
      <c r="J19" s="7">
        <f>G19-H19-K19</f>
        <v>0</v>
      </c>
      <c r="K19" s="65">
        <v>119340.25</v>
      </c>
    </row>
    <row r="20" spans="1:11" ht="40.5">
      <c r="A20" s="14" t="s">
        <v>48</v>
      </c>
      <c r="B20" s="5"/>
      <c r="C20" s="5"/>
      <c r="D20" s="6">
        <v>41034500</v>
      </c>
      <c r="E20" s="10"/>
      <c r="F20" s="15"/>
      <c r="G20" s="15">
        <f>118595519+9000000</f>
        <v>127595519</v>
      </c>
      <c r="H20" s="7">
        <f>28129000+7033000+7293000+7773000+7773000+15502000+45092519+9000000-K20</f>
        <v>127492138.11</v>
      </c>
      <c r="I20" s="29">
        <f t="shared" si="0"/>
        <v>99.91897764842354</v>
      </c>
      <c r="J20" s="7">
        <f>G20-H20-K20</f>
        <v>5.966285243630409E-10</v>
      </c>
      <c r="K20" s="65">
        <v>103380.89</v>
      </c>
    </row>
    <row r="21" spans="1:11" ht="40.5">
      <c r="A21" s="14" t="s">
        <v>64</v>
      </c>
      <c r="B21" s="5"/>
      <c r="C21" s="5"/>
      <c r="D21" s="6">
        <v>41034600</v>
      </c>
      <c r="E21" s="10"/>
      <c r="F21" s="15"/>
      <c r="G21" s="15">
        <v>3128700</v>
      </c>
      <c r="H21" s="7">
        <f>3128700-K21</f>
        <v>1929367.65</v>
      </c>
      <c r="I21" s="29">
        <f t="shared" si="0"/>
        <v>61.6667513663822</v>
      </c>
      <c r="J21" s="7">
        <f>G21-H21-K21</f>
        <v>0</v>
      </c>
      <c r="K21" s="65">
        <v>1199332.35</v>
      </c>
    </row>
    <row r="22" spans="1:11" ht="22.5">
      <c r="A22" s="14" t="s">
        <v>54</v>
      </c>
      <c r="B22" s="5"/>
      <c r="C22" s="5"/>
      <c r="D22" s="6">
        <v>41035200</v>
      </c>
      <c r="E22" s="10"/>
      <c r="F22" s="15"/>
      <c r="G22" s="15">
        <v>4543074</v>
      </c>
      <c r="H22" s="7">
        <f>4543074-K22</f>
        <v>4542996</v>
      </c>
      <c r="I22" s="29">
        <f t="shared" si="0"/>
        <v>99.99828310082557</v>
      </c>
      <c r="J22" s="7">
        <f>G22-H22-K22</f>
        <v>0</v>
      </c>
      <c r="K22" s="65">
        <v>78</v>
      </c>
    </row>
    <row r="23" spans="1:11" ht="40.5">
      <c r="A23" s="14" t="s">
        <v>60</v>
      </c>
      <c r="B23" s="5"/>
      <c r="C23" s="5"/>
      <c r="D23" s="6">
        <v>41035300</v>
      </c>
      <c r="E23" s="10"/>
      <c r="F23" s="15"/>
      <c r="G23" s="15">
        <v>909400</v>
      </c>
      <c r="H23" s="7">
        <f>80000+559700+116300+153400</f>
        <v>909400</v>
      </c>
      <c r="I23" s="29">
        <f t="shared" si="0"/>
        <v>100</v>
      </c>
      <c r="J23" s="7">
        <f t="shared" si="1"/>
        <v>0</v>
      </c>
      <c r="K23" s="76"/>
    </row>
    <row r="24" spans="1:11" ht="45.75">
      <c r="A24" s="14" t="s">
        <v>40</v>
      </c>
      <c r="B24" s="9" t="s">
        <v>38</v>
      </c>
      <c r="C24" s="9" t="s">
        <v>39</v>
      </c>
      <c r="D24" s="6">
        <v>41035400</v>
      </c>
      <c r="E24" s="10"/>
      <c r="F24" s="15">
        <v>8932700</v>
      </c>
      <c r="G24" s="15">
        <f>11682000+5927800</f>
        <v>17609800</v>
      </c>
      <c r="H24" s="7">
        <f>872700+872700+872700+1275900+973500+973500+1745400+973500+973500+973500+973500+2718900+3410500</f>
        <v>17609800</v>
      </c>
      <c r="I24" s="29">
        <f t="shared" si="0"/>
        <v>100</v>
      </c>
      <c r="J24" s="7">
        <f t="shared" si="1"/>
        <v>0</v>
      </c>
      <c r="K24" s="76"/>
    </row>
    <row r="25" spans="1:11" ht="90" customHeight="1">
      <c r="A25" s="71" t="s">
        <v>55</v>
      </c>
      <c r="B25" s="9"/>
      <c r="C25" s="9"/>
      <c r="D25" s="6">
        <v>41035500</v>
      </c>
      <c r="E25" s="10"/>
      <c r="F25" s="15"/>
      <c r="G25" s="15">
        <v>1377750</v>
      </c>
      <c r="H25" s="7">
        <f>1377750-K25</f>
        <v>1365750</v>
      </c>
      <c r="I25" s="29">
        <f t="shared" si="0"/>
        <v>99.12901469787697</v>
      </c>
      <c r="J25" s="7">
        <f>G25-H25-K25</f>
        <v>0</v>
      </c>
      <c r="K25" s="65">
        <v>12000</v>
      </c>
    </row>
    <row r="26" spans="1:11" ht="83.25" customHeight="1">
      <c r="A26" s="71" t="s">
        <v>57</v>
      </c>
      <c r="B26" s="67"/>
      <c r="C26" s="67"/>
      <c r="D26" s="68">
        <v>41035600</v>
      </c>
      <c r="E26" s="69"/>
      <c r="F26" s="70"/>
      <c r="G26" s="15">
        <v>8858471</v>
      </c>
      <c r="H26" s="7">
        <f>223203+1992131+223203+1992131+223203+1992131+220317+1992152-K26</f>
        <v>8853927</v>
      </c>
      <c r="I26" s="29">
        <f t="shared" si="0"/>
        <v>99.9487044660416</v>
      </c>
      <c r="J26" s="7">
        <f>G26-H26-K26</f>
        <v>0</v>
      </c>
      <c r="K26" s="65">
        <v>4544</v>
      </c>
    </row>
    <row r="27" spans="1:11" ht="45.75">
      <c r="A27" s="14" t="s">
        <v>47</v>
      </c>
      <c r="B27" s="9" t="s">
        <v>38</v>
      </c>
      <c r="C27" s="9" t="s">
        <v>39</v>
      </c>
      <c r="D27" s="6">
        <v>41035900</v>
      </c>
      <c r="E27" s="10"/>
      <c r="F27" s="15">
        <v>8932700</v>
      </c>
      <c r="G27" s="15">
        <f>546100+15557800+9643200-284200</f>
        <v>25462900</v>
      </c>
      <c r="H27" s="7">
        <f>6460600+1285800+3214400+5143100-284200+9643200-K27</f>
        <v>25462875</v>
      </c>
      <c r="I27" s="29">
        <f t="shared" si="0"/>
        <v>99.99990181793905</v>
      </c>
      <c r="J27" s="7">
        <f>G27-H27-25</f>
        <v>0</v>
      </c>
      <c r="K27" s="66">
        <f>25</f>
        <v>25</v>
      </c>
    </row>
    <row r="28" spans="1:11" ht="40.5">
      <c r="A28" s="14" t="s">
        <v>56</v>
      </c>
      <c r="B28" s="9"/>
      <c r="C28" s="9"/>
      <c r="D28" s="6">
        <v>41036100</v>
      </c>
      <c r="E28" s="10"/>
      <c r="F28" s="15"/>
      <c r="G28" s="15">
        <v>3164659</v>
      </c>
      <c r="H28" s="7">
        <f>3164659-K28</f>
        <v>3164106.73</v>
      </c>
      <c r="I28" s="29">
        <f t="shared" si="0"/>
        <v>99.9825488306955</v>
      </c>
      <c r="J28" s="7">
        <f>G28-H28-K28</f>
        <v>1.864464138634503E-11</v>
      </c>
      <c r="K28" s="65">
        <v>552.27</v>
      </c>
    </row>
    <row r="29" spans="1:11" ht="40.5">
      <c r="A29" s="14" t="s">
        <v>53</v>
      </c>
      <c r="B29" s="9"/>
      <c r="C29" s="9"/>
      <c r="D29" s="6">
        <v>41036400</v>
      </c>
      <c r="E29" s="10"/>
      <c r="F29" s="15"/>
      <c r="G29" s="15">
        <v>1601947</v>
      </c>
      <c r="H29" s="7">
        <f>1601947-K29</f>
        <v>1601946.39</v>
      </c>
      <c r="I29" s="29">
        <f t="shared" si="0"/>
        <v>99.99996192133696</v>
      </c>
      <c r="J29" s="7">
        <f>G29-H29-K29</f>
        <v>1.0244549653037893E-10</v>
      </c>
      <c r="K29" s="65">
        <v>0.61</v>
      </c>
    </row>
    <row r="30" spans="1:11" ht="22.5">
      <c r="A30" s="14" t="s">
        <v>59</v>
      </c>
      <c r="B30" s="9"/>
      <c r="C30" s="9"/>
      <c r="D30" s="6">
        <v>41037000</v>
      </c>
      <c r="E30" s="10"/>
      <c r="F30" s="15"/>
      <c r="G30" s="15">
        <v>1305800</v>
      </c>
      <c r="H30" s="7">
        <f>68300+651300+586200-K30</f>
        <v>898345.65</v>
      </c>
      <c r="I30" s="29">
        <f t="shared" si="0"/>
        <v>68.79657298207995</v>
      </c>
      <c r="J30" s="7">
        <f>G30-H30-K30</f>
        <v>0</v>
      </c>
      <c r="K30" s="65">
        <v>407454.35</v>
      </c>
    </row>
    <row r="31" spans="1:11" ht="40.5">
      <c r="A31" s="14" t="s">
        <v>52</v>
      </c>
      <c r="B31" s="9"/>
      <c r="C31" s="9"/>
      <c r="D31" s="6">
        <v>41037200</v>
      </c>
      <c r="E31" s="10"/>
      <c r="F31" s="15"/>
      <c r="G31" s="15">
        <f>27105900+11101800-2534700-500000</f>
        <v>35173000</v>
      </c>
      <c r="H31" s="7">
        <f>14900800+4163200+9554300+9589400-2534700-500000-K31</f>
        <v>30432677.34</v>
      </c>
      <c r="I31" s="29">
        <f t="shared" si="0"/>
        <v>86.52283666448697</v>
      </c>
      <c r="J31" s="7">
        <f>G31-H31-4738522.66-1800</f>
        <v>0</v>
      </c>
      <c r="K31" s="65">
        <f>4738522.66+1800</f>
        <v>4740322.66</v>
      </c>
    </row>
    <row r="32" spans="1:11" ht="40.5">
      <c r="A32" s="14" t="s">
        <v>62</v>
      </c>
      <c r="B32" s="9"/>
      <c r="C32" s="9"/>
      <c r="D32" s="6">
        <v>41039100</v>
      </c>
      <c r="E32" s="10"/>
      <c r="F32" s="15"/>
      <c r="G32" s="15">
        <v>17414400</v>
      </c>
      <c r="H32" s="7">
        <f>17414400-K32</f>
        <v>16652662.05</v>
      </c>
      <c r="I32" s="29">
        <f t="shared" si="0"/>
        <v>95.62581570424477</v>
      </c>
      <c r="J32" s="7">
        <f>G32-H32-K32</f>
        <v>0</v>
      </c>
      <c r="K32" s="66">
        <v>761737.95</v>
      </c>
    </row>
    <row r="33" spans="1:11" s="26" customFormat="1" ht="22.5">
      <c r="A33" s="11" t="s">
        <v>25</v>
      </c>
      <c r="B33" s="25"/>
      <c r="C33" s="25"/>
      <c r="D33" s="13"/>
      <c r="E33" s="13"/>
      <c r="F33" s="2">
        <f>SUM(F15:F27)</f>
        <v>1713078100</v>
      </c>
      <c r="G33" s="2">
        <f>SUM(G11:G32)</f>
        <v>3194055218</v>
      </c>
      <c r="H33" s="2">
        <f>SUM(H11:H32)</f>
        <v>3186224610.8500004</v>
      </c>
      <c r="I33" s="30">
        <f t="shared" si="0"/>
        <v>99.75483807838165</v>
      </c>
      <c r="J33" s="2">
        <f>SUM(J11:J31)</f>
        <v>2.90254320578498E-09</v>
      </c>
      <c r="K33" s="8">
        <f>SUM(K11:K32)</f>
        <v>7830607.15</v>
      </c>
    </row>
    <row r="34" spans="1:11" s="26" customFormat="1" ht="40.5" customHeight="1">
      <c r="A34" s="11" t="s">
        <v>26</v>
      </c>
      <c r="B34" s="25"/>
      <c r="C34" s="25"/>
      <c r="D34" s="13"/>
      <c r="E34" s="13"/>
      <c r="F34" s="2">
        <f>F10+F33</f>
        <v>2951844400</v>
      </c>
      <c r="G34" s="2">
        <f>G10+G33</f>
        <v>4543898818</v>
      </c>
      <c r="H34" s="8">
        <f>H10+H33</f>
        <v>4536068210.85</v>
      </c>
      <c r="I34" s="30">
        <f t="shared" si="0"/>
        <v>99.82766766022651</v>
      </c>
      <c r="J34" s="8">
        <f>J10+J33</f>
        <v>2.90254320578498E-09</v>
      </c>
      <c r="K34" s="8">
        <f>K10+K33</f>
        <v>7830607.15</v>
      </c>
    </row>
    <row r="35" spans="1:11" s="26" customFormat="1" ht="24.75">
      <c r="A35" s="101" t="s">
        <v>27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s="26" customFormat="1" ht="40.5">
      <c r="A36" s="89" t="s">
        <v>69</v>
      </c>
      <c r="B36" s="90"/>
      <c r="C36" s="90"/>
      <c r="D36" s="74">
        <v>41032500</v>
      </c>
      <c r="E36" s="90"/>
      <c r="F36" s="90"/>
      <c r="G36" s="91">
        <v>10138060</v>
      </c>
      <c r="H36" s="91">
        <v>10138060</v>
      </c>
      <c r="I36" s="29">
        <f aca="true" t="shared" si="2" ref="I36:I43">H36/G36*100</f>
        <v>100</v>
      </c>
      <c r="J36" s="7">
        <f>G36-H36</f>
        <v>0</v>
      </c>
      <c r="K36" s="90"/>
    </row>
    <row r="37" spans="1:11" s="26" customFormat="1" ht="40.5">
      <c r="A37" s="4" t="s">
        <v>45</v>
      </c>
      <c r="B37" s="5"/>
      <c r="C37" s="5"/>
      <c r="D37" s="6">
        <v>41033000</v>
      </c>
      <c r="E37" s="74"/>
      <c r="F37" s="74"/>
      <c r="G37" s="73">
        <f>13154000+3553700</f>
        <v>16707700</v>
      </c>
      <c r="H37" s="73">
        <f>13154000+3553700-K37</f>
        <v>16707685</v>
      </c>
      <c r="I37" s="29">
        <f t="shared" si="2"/>
        <v>99.99991022103582</v>
      </c>
      <c r="J37" s="7">
        <f>G37-H37-K37</f>
        <v>0</v>
      </c>
      <c r="K37" s="73">
        <v>15</v>
      </c>
    </row>
    <row r="38" spans="1:11" s="26" customFormat="1" ht="40.5">
      <c r="A38" s="14" t="s">
        <v>48</v>
      </c>
      <c r="B38" s="5"/>
      <c r="C38" s="5"/>
      <c r="D38" s="6">
        <v>41034500</v>
      </c>
      <c r="E38" s="72"/>
      <c r="F38" s="72"/>
      <c r="G38" s="73">
        <v>3404481</v>
      </c>
      <c r="H38" s="73">
        <f>2073000+331481+1000000-K38</f>
        <v>3404480.96</v>
      </c>
      <c r="I38" s="29">
        <f t="shared" si="2"/>
        <v>99.99999882507788</v>
      </c>
      <c r="J38" s="7">
        <f>G38-H38-K38</f>
        <v>3.725290215195187E-11</v>
      </c>
      <c r="K38" s="73">
        <v>0.04</v>
      </c>
    </row>
    <row r="39" spans="1:11" s="26" customFormat="1" ht="40.5">
      <c r="A39" s="14" t="s">
        <v>67</v>
      </c>
      <c r="B39" s="9"/>
      <c r="C39" s="9"/>
      <c r="D39" s="6">
        <v>41036600</v>
      </c>
      <c r="E39" s="10"/>
      <c r="F39" s="15"/>
      <c r="G39" s="15">
        <v>125165600</v>
      </c>
      <c r="H39" s="73">
        <v>110984103.92</v>
      </c>
      <c r="I39" s="29">
        <f t="shared" si="2"/>
        <v>88.66981336725107</v>
      </c>
      <c r="J39" s="7">
        <f>G39-H39</f>
        <v>14181496.079999998</v>
      </c>
      <c r="K39" s="92"/>
    </row>
    <row r="40" spans="1:11" ht="61.5">
      <c r="A40" s="4" t="s">
        <v>41</v>
      </c>
      <c r="B40" s="9" t="s">
        <v>29</v>
      </c>
      <c r="C40" s="32" t="s">
        <v>39</v>
      </c>
      <c r="D40" s="6">
        <v>41037300</v>
      </c>
      <c r="E40" s="6"/>
      <c r="F40" s="15">
        <v>182873000</v>
      </c>
      <c r="G40" s="15">
        <f>364268700+33851500</f>
        <v>398120200</v>
      </c>
      <c r="H40" s="7">
        <f>185334800+28842300+32595300+29094300+25554500+33376500+29471000+33851500</f>
        <v>398120200</v>
      </c>
      <c r="I40" s="29">
        <f t="shared" si="2"/>
        <v>100</v>
      </c>
      <c r="J40" s="7">
        <f>G40-H40</f>
        <v>0</v>
      </c>
      <c r="K40" s="65"/>
    </row>
    <row r="41" spans="1:11" s="26" customFormat="1" ht="22.5">
      <c r="A41" s="11" t="s">
        <v>30</v>
      </c>
      <c r="B41" s="12"/>
      <c r="C41" s="12"/>
      <c r="D41" s="13"/>
      <c r="E41" s="13"/>
      <c r="F41" s="2">
        <f>SUM(F40:F40)</f>
        <v>182873000</v>
      </c>
      <c r="G41" s="2">
        <f>SUM(G36:G40)</f>
        <v>553536041</v>
      </c>
      <c r="H41" s="2">
        <f>SUM(H36:H40)</f>
        <v>539354529.88</v>
      </c>
      <c r="I41" s="30">
        <f t="shared" si="2"/>
        <v>97.43801485909027</v>
      </c>
      <c r="J41" s="2">
        <f>SUM(J36:J40)</f>
        <v>14181496.079999998</v>
      </c>
      <c r="K41" s="8">
        <f>SUM(K36:K40)</f>
        <v>15.04</v>
      </c>
    </row>
    <row r="42" spans="1:11" s="26" customFormat="1" ht="22.5">
      <c r="A42" s="11" t="s">
        <v>31</v>
      </c>
      <c r="B42" s="12"/>
      <c r="C42" s="12"/>
      <c r="D42" s="13"/>
      <c r="E42" s="13"/>
      <c r="F42" s="2">
        <f>F33+F41</f>
        <v>1895951100</v>
      </c>
      <c r="G42" s="2">
        <f>G33+G41</f>
        <v>3747591259</v>
      </c>
      <c r="H42" s="8">
        <f>H33+H41</f>
        <v>3725579140.7300005</v>
      </c>
      <c r="I42" s="30">
        <f t="shared" si="2"/>
        <v>99.41263289540618</v>
      </c>
      <c r="J42" s="8">
        <f>J33+J41</f>
        <v>14181496.080000002</v>
      </c>
      <c r="K42" s="8">
        <f>K33+K41</f>
        <v>7830622.19</v>
      </c>
    </row>
    <row r="43" spans="1:11" s="26" customFormat="1" ht="22.5">
      <c r="A43" s="11" t="s">
        <v>32</v>
      </c>
      <c r="B43" s="12"/>
      <c r="C43" s="12"/>
      <c r="D43" s="13"/>
      <c r="E43" s="13"/>
      <c r="F43" s="2">
        <f>F34+F41</f>
        <v>3134717400</v>
      </c>
      <c r="G43" s="2">
        <f>G34+G41</f>
        <v>5097434859</v>
      </c>
      <c r="H43" s="8">
        <f>H34+H41</f>
        <v>5075422740.7300005</v>
      </c>
      <c r="I43" s="30">
        <f t="shared" si="2"/>
        <v>99.568172642145</v>
      </c>
      <c r="J43" s="8">
        <f>J34+J41</f>
        <v>14181496.080000002</v>
      </c>
      <c r="K43" s="8">
        <f>K34+K41</f>
        <v>7830622.19</v>
      </c>
    </row>
    <row r="44" spans="1:11" s="26" customFormat="1" ht="22.5">
      <c r="A44" s="11"/>
      <c r="B44" s="42"/>
      <c r="C44" s="42"/>
      <c r="D44" s="43"/>
      <c r="E44" s="43"/>
      <c r="F44" s="39"/>
      <c r="G44" s="55"/>
      <c r="H44" s="56"/>
      <c r="I44" s="45"/>
      <c r="J44" s="44"/>
      <c r="K44" s="80"/>
    </row>
    <row r="45" spans="1:11" s="26" customFormat="1" ht="22.5">
      <c r="A45" s="33"/>
      <c r="B45" s="34"/>
      <c r="C45" s="34"/>
      <c r="D45" s="35"/>
      <c r="E45" s="35"/>
      <c r="F45" s="36"/>
      <c r="G45" s="57"/>
      <c r="H45" s="58"/>
      <c r="I45" s="38"/>
      <c r="J45" s="37"/>
      <c r="K45" s="81"/>
    </row>
    <row r="46" spans="1:11" s="26" customFormat="1" ht="22.5" hidden="1">
      <c r="A46" s="33"/>
      <c r="B46" s="34"/>
      <c r="C46" s="34"/>
      <c r="D46" s="35"/>
      <c r="E46" s="35"/>
      <c r="F46" s="36"/>
      <c r="G46" s="57"/>
      <c r="H46" s="58"/>
      <c r="I46" s="38"/>
      <c r="J46" s="37"/>
      <c r="K46" s="81"/>
    </row>
    <row r="47" spans="1:11" ht="22.5" customHeight="1" hidden="1">
      <c r="A47" s="104" t="s">
        <v>43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 ht="22.5" hidden="1">
      <c r="A48" s="105" t="s">
        <v>68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22.5" hidden="1">
      <c r="A49" s="27"/>
      <c r="B49" s="27"/>
      <c r="C49" s="27"/>
      <c r="D49" s="27"/>
      <c r="E49" s="27"/>
      <c r="F49" s="28"/>
      <c r="G49" s="59"/>
      <c r="H49" s="60"/>
      <c r="I49" s="31"/>
      <c r="J49" s="27" t="s">
        <v>42</v>
      </c>
      <c r="K49" s="82"/>
    </row>
    <row r="50" spans="1:11" ht="21" customHeight="1" hidden="1">
      <c r="A50" s="106" t="s">
        <v>0</v>
      </c>
      <c r="B50" s="108" t="s">
        <v>33</v>
      </c>
      <c r="C50" s="108" t="s">
        <v>34</v>
      </c>
      <c r="D50" s="108" t="s">
        <v>3</v>
      </c>
      <c r="E50" s="108" t="s">
        <v>4</v>
      </c>
      <c r="F50" s="93" t="s">
        <v>5</v>
      </c>
      <c r="G50" s="94"/>
      <c r="H50" s="95" t="s">
        <v>6</v>
      </c>
      <c r="I50" s="96"/>
      <c r="J50" s="97" t="s">
        <v>7</v>
      </c>
      <c r="K50" s="99" t="s">
        <v>50</v>
      </c>
    </row>
    <row r="51" spans="1:11" ht="20.25" hidden="1">
      <c r="A51" s="107"/>
      <c r="B51" s="109"/>
      <c r="C51" s="109"/>
      <c r="D51" s="109"/>
      <c r="E51" s="109"/>
      <c r="F51" s="20" t="s">
        <v>8</v>
      </c>
      <c r="G51" s="20" t="s">
        <v>63</v>
      </c>
      <c r="H51" s="21" t="s">
        <v>9</v>
      </c>
      <c r="I51" s="3" t="s">
        <v>10</v>
      </c>
      <c r="J51" s="98"/>
      <c r="K51" s="100"/>
    </row>
    <row r="52" spans="1:11" ht="24.75" hidden="1">
      <c r="A52" s="101" t="s">
        <v>11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3"/>
    </row>
    <row r="53" spans="1:11" ht="22.5" hidden="1">
      <c r="A53" s="4" t="s">
        <v>12</v>
      </c>
      <c r="B53" s="5" t="s">
        <v>13</v>
      </c>
      <c r="C53" s="5" t="s">
        <v>14</v>
      </c>
      <c r="D53" s="6">
        <v>41020100</v>
      </c>
      <c r="E53" s="6"/>
      <c r="F53" s="16">
        <v>126817000</v>
      </c>
      <c r="G53" s="16">
        <v>247783000</v>
      </c>
      <c r="H53" s="22">
        <f>137657333.32+6882866.68+6882866.68+13765733.32+6882866.68+6882886.68+6882846.64+6882866.68+6882866.68+6882866.64+6882866.64+6882866.64+6882866.72+6882866.64+6882799.99+6882733.37</f>
        <v>247782999.99999997</v>
      </c>
      <c r="I53" s="29">
        <f aca="true" t="shared" si="3" ref="I53:I73">H53/G53*100</f>
        <v>99.99999999999999</v>
      </c>
      <c r="J53" s="7">
        <f>G53-H53</f>
        <v>0</v>
      </c>
      <c r="K53" s="86"/>
    </row>
    <row r="54" spans="1:11" ht="40.5" hidden="1">
      <c r="A54" s="23" t="s">
        <v>15</v>
      </c>
      <c r="B54" s="24" t="s">
        <v>16</v>
      </c>
      <c r="C54" s="24" t="s">
        <v>14</v>
      </c>
      <c r="D54" s="6">
        <v>41020200</v>
      </c>
      <c r="E54" s="10" t="s">
        <v>17</v>
      </c>
      <c r="F54" s="15">
        <v>677508800</v>
      </c>
      <c r="G54" s="15">
        <v>227846700</v>
      </c>
      <c r="H54" s="7">
        <f>18987200+18987200+18987200+18987200+18987200+18987200+18987200+18987200+18987200+18987200+18987200+18987500</f>
        <v>227846700</v>
      </c>
      <c r="I54" s="29">
        <f t="shared" si="3"/>
        <v>100</v>
      </c>
      <c r="J54" s="7">
        <f>G54-H54</f>
        <v>0</v>
      </c>
      <c r="K54" s="83"/>
    </row>
    <row r="55" spans="1:11" ht="40.5" hidden="1">
      <c r="A55" s="23" t="s">
        <v>66</v>
      </c>
      <c r="B55" s="24"/>
      <c r="C55" s="24"/>
      <c r="D55" s="6">
        <v>41021100</v>
      </c>
      <c r="E55" s="10"/>
      <c r="F55" s="15"/>
      <c r="G55" s="15">
        <v>23664700</v>
      </c>
      <c r="H55" s="7">
        <v>23664700</v>
      </c>
      <c r="I55" s="29">
        <f t="shared" si="3"/>
        <v>100</v>
      </c>
      <c r="J55" s="7">
        <f>G55-H55</f>
        <v>0</v>
      </c>
      <c r="K55" s="83"/>
    </row>
    <row r="56" spans="1:11" ht="40.5" hidden="1">
      <c r="A56" s="14" t="s">
        <v>51</v>
      </c>
      <c r="B56" s="24"/>
      <c r="C56" s="24"/>
      <c r="D56" s="6">
        <v>41030500</v>
      </c>
      <c r="E56" s="10"/>
      <c r="F56" s="15"/>
      <c r="G56" s="15">
        <f>1416390+1555098</f>
        <v>2971488</v>
      </c>
      <c r="H56" s="15">
        <f>1416390+1555098-K56</f>
        <v>2971486.24</v>
      </c>
      <c r="I56" s="29">
        <f t="shared" si="3"/>
        <v>99.99994077041536</v>
      </c>
      <c r="J56" s="7">
        <f>G56-H56-K56</f>
        <v>-2.2351742678949904E-10</v>
      </c>
      <c r="K56" s="66">
        <v>1.76</v>
      </c>
    </row>
    <row r="57" spans="1:11" ht="40.5" hidden="1">
      <c r="A57" s="14" t="s">
        <v>49</v>
      </c>
      <c r="B57" s="25"/>
      <c r="C57" s="25"/>
      <c r="D57" s="6">
        <v>41032300</v>
      </c>
      <c r="E57" s="13"/>
      <c r="F57" s="2"/>
      <c r="G57" s="15">
        <v>48300000</v>
      </c>
      <c r="H57" s="15">
        <f>41000000+12000000+43750000+4400000+4400000-57250000</f>
        <v>48300000</v>
      </c>
      <c r="I57" s="29">
        <f t="shared" si="3"/>
        <v>100</v>
      </c>
      <c r="J57" s="7">
        <f>G57-H57</f>
        <v>0</v>
      </c>
      <c r="K57" s="66"/>
    </row>
    <row r="58" spans="1:11" ht="40.5" hidden="1">
      <c r="A58" s="4" t="s">
        <v>45</v>
      </c>
      <c r="B58" s="5"/>
      <c r="C58" s="5"/>
      <c r="D58" s="6">
        <v>41033000</v>
      </c>
      <c r="E58" s="6"/>
      <c r="F58" s="15"/>
      <c r="G58" s="15">
        <f>90319500+15756000+7978900+5000000</f>
        <v>119054400</v>
      </c>
      <c r="H58" s="7">
        <f>54071050+4257450+4260850+4260850+4238900-K58+4238900+4238950+4238950+4238950+4238950+2242150+2242150+4484400-34100+2411500+2411500+8013000+5000000</f>
        <v>119013761.1</v>
      </c>
      <c r="I58" s="29">
        <f t="shared" si="3"/>
        <v>99.96586526831432</v>
      </c>
      <c r="J58" s="7">
        <f>G58-H58-40638.9</f>
        <v>5.959009286016226E-09</v>
      </c>
      <c r="K58" s="66">
        <f>40638.9</f>
        <v>40638.9</v>
      </c>
    </row>
    <row r="59" spans="1:11" ht="40.5" hidden="1">
      <c r="A59" s="4" t="s">
        <v>65</v>
      </c>
      <c r="B59" s="5"/>
      <c r="C59" s="5"/>
      <c r="D59" s="6">
        <v>41033400</v>
      </c>
      <c r="E59" s="6"/>
      <c r="F59" s="15"/>
      <c r="G59" s="15">
        <v>6122400</v>
      </c>
      <c r="H59" s="7">
        <v>6122400</v>
      </c>
      <c r="I59" s="29">
        <f t="shared" si="3"/>
        <v>100</v>
      </c>
      <c r="J59" s="7">
        <f>G59-H59-K59</f>
        <v>0</v>
      </c>
      <c r="K59" s="77"/>
    </row>
    <row r="60" spans="1:11" ht="40.5" hidden="1">
      <c r="A60" s="4" t="s">
        <v>58</v>
      </c>
      <c r="B60" s="5"/>
      <c r="C60" s="5"/>
      <c r="D60" s="6">
        <v>41033800</v>
      </c>
      <c r="E60" s="6"/>
      <c r="F60" s="15"/>
      <c r="G60" s="15">
        <v>3160000</v>
      </c>
      <c r="H60" s="7">
        <f>1053300+2106700</f>
        <v>3160000</v>
      </c>
      <c r="I60" s="29">
        <f t="shared" si="3"/>
        <v>100</v>
      </c>
      <c r="J60" s="7">
        <f>G60-H60-K60</f>
        <v>0</v>
      </c>
      <c r="K60" s="77"/>
    </row>
    <row r="61" spans="1:11" ht="22.5" hidden="1">
      <c r="A61" s="4" t="s">
        <v>19</v>
      </c>
      <c r="B61" s="5" t="s">
        <v>20</v>
      </c>
      <c r="C61" s="5" t="s">
        <v>14</v>
      </c>
      <c r="D61" s="6">
        <v>41033900</v>
      </c>
      <c r="E61" s="6"/>
      <c r="F61" s="15">
        <v>112543600</v>
      </c>
      <c r="G61" s="15">
        <f>157082200+34856900</f>
        <v>191939100</v>
      </c>
      <c r="H61" s="7">
        <f>96314000+3144650+3084650+6514450+6514450+6593800+6593800+6831300+6831300+7329900+7329900+34856900</f>
        <v>191939100</v>
      </c>
      <c r="I61" s="29">
        <f t="shared" si="3"/>
        <v>100</v>
      </c>
      <c r="J61" s="7">
        <f>G61-H61</f>
        <v>0</v>
      </c>
      <c r="K61" s="83"/>
    </row>
    <row r="62" spans="1:11" ht="61.5" hidden="1">
      <c r="A62" s="4" t="s">
        <v>21</v>
      </c>
      <c r="B62" s="5" t="s">
        <v>22</v>
      </c>
      <c r="C62" s="5" t="s">
        <v>23</v>
      </c>
      <c r="D62" s="6">
        <v>41034400</v>
      </c>
      <c r="E62" s="10" t="s">
        <v>24</v>
      </c>
      <c r="F62" s="15">
        <v>6386400</v>
      </c>
      <c r="G62" s="15">
        <v>16298000</v>
      </c>
      <c r="H62" s="7">
        <f>3936000+984000+1775400+2571900+2531400+4499300-K62</f>
        <v>16178659.75</v>
      </c>
      <c r="I62" s="29">
        <f t="shared" si="3"/>
        <v>99.26776138176463</v>
      </c>
      <c r="J62" s="7">
        <f>G62-H62-K62</f>
        <v>0</v>
      </c>
      <c r="K62" s="66">
        <v>119340.25</v>
      </c>
    </row>
    <row r="63" spans="1:11" ht="40.5" hidden="1">
      <c r="A63" s="14" t="s">
        <v>48</v>
      </c>
      <c r="B63" s="5"/>
      <c r="C63" s="5"/>
      <c r="D63" s="6">
        <v>41034500</v>
      </c>
      <c r="E63" s="10"/>
      <c r="F63" s="15"/>
      <c r="G63" s="15">
        <v>30832000</v>
      </c>
      <c r="H63" s="7">
        <v>30832000</v>
      </c>
      <c r="I63" s="29">
        <f t="shared" si="3"/>
        <v>100</v>
      </c>
      <c r="J63" s="7">
        <f>G63-H63</f>
        <v>0</v>
      </c>
      <c r="K63" s="83"/>
    </row>
    <row r="64" spans="1:11" ht="40.5" hidden="1">
      <c r="A64" s="14" t="s">
        <v>60</v>
      </c>
      <c r="B64" s="5"/>
      <c r="C64" s="5"/>
      <c r="D64" s="6">
        <v>41035300</v>
      </c>
      <c r="E64" s="10"/>
      <c r="F64" s="15"/>
      <c r="G64" s="15">
        <v>909400</v>
      </c>
      <c r="H64" s="7">
        <f>80000+559700+116300+153400</f>
        <v>909400</v>
      </c>
      <c r="I64" s="29">
        <f t="shared" si="3"/>
        <v>100</v>
      </c>
      <c r="J64" s="7">
        <f>G64-H64</f>
        <v>0</v>
      </c>
      <c r="K64" s="83"/>
    </row>
    <row r="65" spans="1:11" ht="45.75" hidden="1">
      <c r="A65" s="14" t="s">
        <v>40</v>
      </c>
      <c r="B65" s="9" t="s">
        <v>38</v>
      </c>
      <c r="C65" s="9" t="s">
        <v>39</v>
      </c>
      <c r="D65" s="6">
        <v>41035400</v>
      </c>
      <c r="E65" s="10"/>
      <c r="F65" s="15">
        <v>8932700</v>
      </c>
      <c r="G65" s="15">
        <f>11682000+5927800</f>
        <v>17609800</v>
      </c>
      <c r="H65" s="7">
        <f>4867500+973500+1745400+973500+973500+973500+973500+2718900+3410500</f>
        <v>17609800</v>
      </c>
      <c r="I65" s="29">
        <f t="shared" si="3"/>
        <v>100</v>
      </c>
      <c r="J65" s="7">
        <f>G65-H65</f>
        <v>0</v>
      </c>
      <c r="K65" s="83"/>
    </row>
    <row r="66" spans="1:11" ht="40.5" hidden="1">
      <c r="A66" s="71" t="s">
        <v>57</v>
      </c>
      <c r="B66" s="67"/>
      <c r="C66" s="67"/>
      <c r="D66" s="68">
        <v>41035600</v>
      </c>
      <c r="E66" s="10"/>
      <c r="F66" s="15"/>
      <c r="G66" s="15">
        <v>1594916</v>
      </c>
      <c r="H66" s="7">
        <f>23806+374999+23806+374999+23806+374999+23498+375003</f>
        <v>1594916</v>
      </c>
      <c r="I66" s="29">
        <f t="shared" si="3"/>
        <v>100</v>
      </c>
      <c r="J66" s="7">
        <f>G66-H66</f>
        <v>0</v>
      </c>
      <c r="K66" s="83"/>
    </row>
    <row r="67" spans="1:11" ht="45.75" hidden="1">
      <c r="A67" s="14" t="s">
        <v>47</v>
      </c>
      <c r="B67" s="9" t="s">
        <v>38</v>
      </c>
      <c r="C67" s="9" t="s">
        <v>39</v>
      </c>
      <c r="D67" s="6">
        <v>41035900</v>
      </c>
      <c r="E67" s="10"/>
      <c r="F67" s="15">
        <v>8932700</v>
      </c>
      <c r="G67" s="15">
        <f>546100+15557800+9643200-284200</f>
        <v>25462900</v>
      </c>
      <c r="H67" s="7">
        <f>6460600+1285800+3214400+5143100-284200+9643200-K67</f>
        <v>25462875</v>
      </c>
      <c r="I67" s="29">
        <f t="shared" si="3"/>
        <v>99.99990181793905</v>
      </c>
      <c r="J67" s="7">
        <f>G67-H67-25</f>
        <v>0</v>
      </c>
      <c r="K67" s="66">
        <f>25</f>
        <v>25</v>
      </c>
    </row>
    <row r="68" spans="1:11" ht="40.5" hidden="1">
      <c r="A68" s="14" t="s">
        <v>56</v>
      </c>
      <c r="B68" s="9"/>
      <c r="C68" s="9"/>
      <c r="D68" s="6">
        <v>41036100</v>
      </c>
      <c r="E68" s="10"/>
      <c r="F68" s="15"/>
      <c r="G68" s="15">
        <v>3164659</v>
      </c>
      <c r="H68" s="7">
        <f>3164659-K68</f>
        <v>3164106.73</v>
      </c>
      <c r="I68" s="29">
        <f t="shared" si="3"/>
        <v>99.9825488306955</v>
      </c>
      <c r="J68" s="7">
        <f>G68-H68-K68</f>
        <v>1.864464138634503E-11</v>
      </c>
      <c r="K68" s="66">
        <v>552.27</v>
      </c>
    </row>
    <row r="69" spans="1:11" ht="40.5" hidden="1">
      <c r="A69" s="14" t="s">
        <v>53</v>
      </c>
      <c r="B69" s="9"/>
      <c r="C69" s="9"/>
      <c r="D69" s="6">
        <v>41036400</v>
      </c>
      <c r="E69" s="10"/>
      <c r="F69" s="15"/>
      <c r="G69" s="15">
        <v>1601947</v>
      </c>
      <c r="H69" s="7">
        <f>1601947-K69</f>
        <v>1601946.39</v>
      </c>
      <c r="I69" s="29">
        <f t="shared" si="3"/>
        <v>99.99996192133696</v>
      </c>
      <c r="J69" s="7">
        <f>G69-H69-K69</f>
        <v>1.0244549653037893E-10</v>
      </c>
      <c r="K69" s="66">
        <v>0.61</v>
      </c>
    </row>
    <row r="70" spans="1:11" ht="22.5" hidden="1">
      <c r="A70" s="14" t="s">
        <v>59</v>
      </c>
      <c r="B70" s="9"/>
      <c r="C70" s="9"/>
      <c r="D70" s="6">
        <v>41037000</v>
      </c>
      <c r="E70" s="10"/>
      <c r="F70" s="15"/>
      <c r="G70" s="15">
        <v>1305800</v>
      </c>
      <c r="H70" s="7">
        <f>68300+651300+586200-K70</f>
        <v>898345.65</v>
      </c>
      <c r="I70" s="29">
        <f t="shared" si="3"/>
        <v>68.79657298207995</v>
      </c>
      <c r="J70" s="7">
        <f>G70-H70-K70</f>
        <v>0</v>
      </c>
      <c r="K70" s="66">
        <v>407454.35</v>
      </c>
    </row>
    <row r="71" spans="1:11" ht="40.5" hidden="1">
      <c r="A71" s="14" t="s">
        <v>52</v>
      </c>
      <c r="B71" s="9"/>
      <c r="C71" s="9"/>
      <c r="D71" s="6">
        <v>41037200</v>
      </c>
      <c r="E71" s="10"/>
      <c r="F71" s="15"/>
      <c r="G71" s="15">
        <f>27105900+11101800-2534700-500000</f>
        <v>35173000</v>
      </c>
      <c r="H71" s="7">
        <f>14900800+4163200+9554300+9589400-2534700-500000-K71</f>
        <v>30432677.34</v>
      </c>
      <c r="I71" s="29">
        <f t="shared" si="3"/>
        <v>86.52283666448697</v>
      </c>
      <c r="J71" s="7">
        <f>G71-H71-4738522.66-1800</f>
        <v>0</v>
      </c>
      <c r="K71" s="66">
        <f>4738522.66+1800</f>
        <v>4740322.66</v>
      </c>
    </row>
    <row r="72" spans="1:11" ht="40.5" hidden="1">
      <c r="A72" s="14" t="s">
        <v>62</v>
      </c>
      <c r="B72" s="9"/>
      <c r="C72" s="9"/>
      <c r="D72" s="6">
        <v>41039100</v>
      </c>
      <c r="E72" s="10"/>
      <c r="F72" s="15"/>
      <c r="G72" s="15">
        <v>17414400</v>
      </c>
      <c r="H72" s="7">
        <f>17414400-K72</f>
        <v>16652662.05</v>
      </c>
      <c r="I72" s="29">
        <f t="shared" si="3"/>
        <v>95.62581570424477</v>
      </c>
      <c r="J72" s="7">
        <f>G72-H72-K72</f>
        <v>0</v>
      </c>
      <c r="K72" s="66">
        <v>761737.95</v>
      </c>
    </row>
    <row r="73" spans="1:11" s="26" customFormat="1" ht="22.5" hidden="1">
      <c r="A73" s="11" t="s">
        <v>35</v>
      </c>
      <c r="B73" s="12"/>
      <c r="C73" s="12"/>
      <c r="D73" s="13"/>
      <c r="E73" s="13"/>
      <c r="F73" s="2">
        <f>SUM(F53:F67)</f>
        <v>941121200</v>
      </c>
      <c r="G73" s="2">
        <f>SUM(G53:G72)</f>
        <v>1022208610</v>
      </c>
      <c r="H73" s="2">
        <f>SUM(H53:H72)</f>
        <v>1016138536.25</v>
      </c>
      <c r="I73" s="30">
        <f t="shared" si="3"/>
        <v>99.4061805300192</v>
      </c>
      <c r="J73" s="2">
        <f>SUM(J53:J71)</f>
        <v>5.856581997143451E-09</v>
      </c>
      <c r="K73" s="8">
        <f>SUM(K53:K72)</f>
        <v>6070073.75</v>
      </c>
    </row>
    <row r="74" spans="1:11" ht="24.75" hidden="1">
      <c r="A74" s="101" t="s">
        <v>27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1" ht="40.5" hidden="1">
      <c r="A75" s="4" t="s">
        <v>45</v>
      </c>
      <c r="B75" s="5"/>
      <c r="C75" s="5"/>
      <c r="D75" s="6">
        <v>41033000</v>
      </c>
      <c r="E75" s="74"/>
      <c r="F75" s="74"/>
      <c r="G75" s="73">
        <f>13154000+3553700</f>
        <v>16707700</v>
      </c>
      <c r="H75" s="73">
        <f>13154000+3553700-K75</f>
        <v>16707685</v>
      </c>
      <c r="I75" s="29">
        <f>H75/G75*100</f>
        <v>99.99991022103582</v>
      </c>
      <c r="J75" s="7">
        <f>G75-H75-K75</f>
        <v>0</v>
      </c>
      <c r="K75" s="88">
        <v>15</v>
      </c>
    </row>
    <row r="76" spans="1:11" ht="40.5" hidden="1">
      <c r="A76" s="14" t="s">
        <v>67</v>
      </c>
      <c r="B76" s="9"/>
      <c r="C76" s="9"/>
      <c r="D76" s="6">
        <v>41036600</v>
      </c>
      <c r="E76" s="10"/>
      <c r="F76" s="15"/>
      <c r="G76" s="15">
        <v>125165600</v>
      </c>
      <c r="H76" s="73">
        <v>110894103.92</v>
      </c>
      <c r="I76" s="29">
        <f>H76/G76*100</f>
        <v>88.59790862665142</v>
      </c>
      <c r="J76" s="7">
        <f>G76-H76</f>
        <v>14271496.079999998</v>
      </c>
      <c r="K76" s="78"/>
    </row>
    <row r="77" spans="1:11" ht="81.75" hidden="1">
      <c r="A77" s="4" t="s">
        <v>28</v>
      </c>
      <c r="B77" s="9" t="s">
        <v>29</v>
      </c>
      <c r="C77" s="32">
        <v>3220</v>
      </c>
      <c r="D77" s="6">
        <v>41037300</v>
      </c>
      <c r="E77" s="6"/>
      <c r="F77" s="15">
        <v>182873000</v>
      </c>
      <c r="G77" s="15">
        <f>364268700+33851500</f>
        <v>398120200</v>
      </c>
      <c r="H77" s="7">
        <f>185334800+28842300+32595300+29094300+25554500+33376500+29471000+33851500</f>
        <v>398120200</v>
      </c>
      <c r="I77" s="29">
        <f>H77/G77*100</f>
        <v>100</v>
      </c>
      <c r="J77" s="7">
        <f>G77-H77</f>
        <v>0</v>
      </c>
      <c r="K77" s="87"/>
    </row>
    <row r="78" spans="1:11" s="26" customFormat="1" ht="22.5" hidden="1">
      <c r="A78" s="11" t="s">
        <v>36</v>
      </c>
      <c r="B78" s="12"/>
      <c r="C78" s="12"/>
      <c r="D78" s="13"/>
      <c r="E78" s="13"/>
      <c r="F78" s="2">
        <f>SUM(F77:F77)</f>
        <v>182873000</v>
      </c>
      <c r="G78" s="2">
        <f>SUM(G75:G77)</f>
        <v>539993500</v>
      </c>
      <c r="H78" s="2">
        <f>SUM(H75:H77)</f>
        <v>525721988.92</v>
      </c>
      <c r="I78" s="30">
        <f>H78/G78*100</f>
        <v>97.35709576504162</v>
      </c>
      <c r="J78" s="2">
        <f>SUM(J77:J77)</f>
        <v>0</v>
      </c>
      <c r="K78" s="8">
        <f>SUM(K75:K77)</f>
        <v>15</v>
      </c>
    </row>
    <row r="79" spans="1:11" s="26" customFormat="1" ht="39.75" hidden="1">
      <c r="A79" s="11" t="s">
        <v>37</v>
      </c>
      <c r="B79" s="12"/>
      <c r="C79" s="12"/>
      <c r="D79" s="13"/>
      <c r="E79" s="13"/>
      <c r="F79" s="2">
        <f>F73+F78</f>
        <v>1123994200</v>
      </c>
      <c r="G79" s="2">
        <f>G73+G78</f>
        <v>1562202110</v>
      </c>
      <c r="H79" s="8">
        <f>H73+H78</f>
        <v>1541860525.17</v>
      </c>
      <c r="I79" s="30">
        <f>H79/G79*100</f>
        <v>98.69789032419115</v>
      </c>
      <c r="J79" s="8">
        <f>J73+J78</f>
        <v>5.856581997143451E-09</v>
      </c>
      <c r="K79" s="8">
        <f>K73+K78</f>
        <v>6070088.75</v>
      </c>
    </row>
    <row r="80" spans="1:10" ht="22.5">
      <c r="A80" s="33"/>
      <c r="B80" s="34"/>
      <c r="C80" s="34"/>
      <c r="D80" s="46"/>
      <c r="E80" s="46"/>
      <c r="F80" s="40"/>
      <c r="G80" s="61"/>
      <c r="H80" s="62"/>
      <c r="I80" s="48"/>
      <c r="J80" s="47"/>
    </row>
    <row r="81" spans="1:10" ht="22.5">
      <c r="A81" s="33"/>
      <c r="B81" s="34"/>
      <c r="C81" s="34"/>
      <c r="D81" s="46"/>
      <c r="E81" s="46"/>
      <c r="F81" s="40"/>
      <c r="G81" s="61"/>
      <c r="H81" s="62"/>
      <c r="I81" s="48"/>
      <c r="J81" s="47"/>
    </row>
    <row r="82" spans="1:10" ht="22.5">
      <c r="A82" s="33"/>
      <c r="B82" s="34"/>
      <c r="C82" s="34"/>
      <c r="D82" s="46"/>
      <c r="E82" s="46"/>
      <c r="F82" s="40"/>
      <c r="G82" s="61"/>
      <c r="H82" s="62"/>
      <c r="I82" s="48"/>
      <c r="J82" s="47"/>
    </row>
    <row r="83" spans="1:10" ht="22.5">
      <c r="A83" s="33"/>
      <c r="B83" s="34"/>
      <c r="C83" s="34"/>
      <c r="D83" s="46"/>
      <c r="E83" s="46"/>
      <c r="F83" s="40"/>
      <c r="G83" s="61"/>
      <c r="H83" s="62"/>
      <c r="I83" s="48"/>
      <c r="J83" s="47"/>
    </row>
    <row r="84" spans="1:10" ht="22.5">
      <c r="A84" s="33"/>
      <c r="B84" s="34"/>
      <c r="C84" s="34"/>
      <c r="D84" s="46"/>
      <c r="E84" s="46"/>
      <c r="F84" s="40"/>
      <c r="G84" s="61"/>
      <c r="H84" s="62"/>
      <c r="I84" s="48"/>
      <c r="J84" s="47"/>
    </row>
    <row r="85" spans="1:10" ht="22.5">
      <c r="A85" s="33"/>
      <c r="B85" s="34"/>
      <c r="C85" s="34"/>
      <c r="D85" s="46"/>
      <c r="E85" s="46"/>
      <c r="F85" s="40"/>
      <c r="G85" s="61"/>
      <c r="H85" s="62"/>
      <c r="I85" s="48"/>
      <c r="J85" s="47"/>
    </row>
    <row r="86" spans="1:11" s="52" customFormat="1" ht="22.5">
      <c r="A86" s="49"/>
      <c r="B86" s="50"/>
      <c r="C86" s="50"/>
      <c r="D86" s="1"/>
      <c r="E86" s="1"/>
      <c r="F86" s="41"/>
      <c r="G86" s="63"/>
      <c r="H86" s="64"/>
      <c r="I86" s="51"/>
      <c r="J86" s="1"/>
      <c r="K86" s="85"/>
    </row>
  </sheetData>
  <sheetProtection/>
  <mergeCells count="26">
    <mergeCell ref="A4:A5"/>
    <mergeCell ref="E4:E5"/>
    <mergeCell ref="A1:K1"/>
    <mergeCell ref="A2:K2"/>
    <mergeCell ref="F4:G4"/>
    <mergeCell ref="H4:I4"/>
    <mergeCell ref="B4:B5"/>
    <mergeCell ref="K4:K5"/>
    <mergeCell ref="C4:C5"/>
    <mergeCell ref="D4:D5"/>
    <mergeCell ref="J4:J5"/>
    <mergeCell ref="A6:K6"/>
    <mergeCell ref="A35:K35"/>
    <mergeCell ref="A47:K47"/>
    <mergeCell ref="A48:K48"/>
    <mergeCell ref="A50:A51"/>
    <mergeCell ref="B50:B51"/>
    <mergeCell ref="C50:C51"/>
    <mergeCell ref="D50:D51"/>
    <mergeCell ref="E50:E51"/>
    <mergeCell ref="F50:G50"/>
    <mergeCell ref="H50:I50"/>
    <mergeCell ref="J50:J51"/>
    <mergeCell ref="K50:K51"/>
    <mergeCell ref="A52:K52"/>
    <mergeCell ref="A74:K7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2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2022-06-20T11:47:34Z</dcterms:modified>
  <cp:category/>
  <cp:version/>
  <cp:contentType/>
  <cp:contentStatus/>
</cp:coreProperties>
</file>