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6495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'Видатки'!$A$1:$R$63</definedName>
    <definedName name="_xlnm.Print_Area" localSheetId="0">'Доходи'!$A$1:$R$75</definedName>
  </definedNames>
  <calcPr fullCalcOnLoad="1"/>
</workbook>
</file>

<file path=xl/sharedStrings.xml><?xml version="1.0" encoding="utf-8"?>
<sst xmlns="http://schemas.openxmlformats.org/spreadsheetml/2006/main" count="253" uniqueCount="219">
  <si>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</si>
  <si>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</si>
  <si>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</si>
  <si>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</si>
  <si>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</si>
  <si>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</si>
  <si>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</si>
  <si>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</si>
  <si>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</si>
  <si>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</si>
  <si>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</si>
  <si>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</si>
  <si>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</si>
  <si>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</si>
  <si>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</si>
  <si>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</si>
  <si>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</si>
  <si>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</si>
  <si>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</si>
  <si>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</si>
  <si>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</si>
  <si>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</si>
  <si>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</si>
  <si>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</si>
  <si>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</si>
  <si>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</si>
  <si>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</si>
  <si>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</si>
  <si>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</si>
  <si>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</si>
  <si>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</si>
  <si>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</si>
  <si>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</si>
  <si>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</si>
  <si>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</si>
  <si>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</si>
  <si>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</si>
  <si>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</si>
  <si>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</si>
  <si>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</si>
  <si>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</si>
  <si>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</si>
  <si>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</si>
  <si>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</si>
  <si>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</si>
  <si>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</si>
  <si>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</si>
  <si>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</si>
  <si>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</si>
  <si>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</si>
  <si>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</si>
  <si>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</si>
  <si>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</si>
  <si>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</si>
  <si>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</si>
  <si>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</si>
  <si>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</si>
  <si>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</si>
  <si>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</si>
  <si>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</si>
  <si>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</si>
  <si>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</si>
  <si>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</si>
  <si>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</si>
  <si>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</si>
  <si>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</si>
  <si>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</si>
  <si>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</si>
  <si>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</si>
  <si>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</si>
  <si>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</si>
  <si>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</si>
  <si>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</si>
  <si>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</si>
  <si>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</si>
  <si>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</si>
  <si>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</si>
  <si>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</si>
  <si>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</si>
  <si>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</si>
  <si>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</si>
  <si>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</si>
  <si>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</si>
  <si>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</si>
  <si>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</si>
  <si>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</si>
  <si>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</si>
  <si>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</si>
  <si>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</si>
  <si>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</si>
  <si>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</si>
  <si>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</si>
  <si>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</si>
  <si>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</si>
  <si>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</si>
  <si>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</si>
  <si>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</si>
  <si>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</si>
  <si>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</si>
  <si>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</si>
  <si>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</si>
  <si>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</si>
  <si>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</si>
  <si>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</si>
  <si>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</si>
  <si>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</si>
  <si>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</si>
  <si>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</si>
  <si>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</si>
  <si>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</si>
  <si>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</si>
  <si>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</si>
  <si>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</si>
  <si>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</si>
  <si>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</si>
  <si>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</si>
  <si>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</si>
  <si>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</si>
  <si>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</si>
  <si>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</si>
  <si>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</si>
  <si>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</si>
  <si>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</si>
  <si>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</si>
  <si>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</si>
  <si>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</si>
  <si>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</si>
  <si>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</si>
  <si>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</si>
  <si>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</si>
  <si>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</si>
  <si>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</si>
  <si>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</si>
  <si>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</si>
  <si>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</si>
  <si>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</si>
  <si>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</si>
  <si>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</si>
  <si>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</si>
  <si>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</si>
  <si>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</si>
  <si>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</si>
  <si>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</si>
  <si>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</si>
  <si>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</si>
  <si>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</si>
  <si>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</si>
  <si>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</si>
  <si>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</si>
  <si>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</si>
  <si>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</si>
  <si>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</si>
  <si>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</si>
  <si>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</si>
  <si>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</si>
  <si>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</si>
  <si>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</si>
  <si>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</si>
  <si>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</si>
  <si>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</si>
  <si>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</si>
  <si>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</si>
  <si>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</si>
  <si>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</si>
  <si>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</si>
  <si>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</si>
  <si>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</si>
  <si>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</si>
  <si>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</si>
  <si>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</si>
  <si>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</si>
  <si>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</si>
  <si>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</si>
  <si>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</si>
  <si>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</si>
  <si>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</si>
  <si>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</si>
  <si>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</si>
  <si>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</si>
  <si>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</si>
  <si>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</si>
  <si>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</si>
  <si>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</si>
  <si>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</si>
  <si>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</si>
  <si>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</si>
  <si>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</si>
  <si>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</si>
  <si>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</si>
  <si>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</si>
  <si>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</si>
  <si>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</si>
  <si>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</si>
  <si>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</si>
  <si>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</si>
  <si>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</si>
  <si>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</si>
  <si>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</si>
  <si>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</si>
  <si>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Процент виконання до плану 2022 року</t>
  </si>
  <si>
    <t>Затверджено місцевими радами на 2022 рік із урахуванням змін (кошторисні призначення)</t>
  </si>
  <si>
    <t>Затверджено обласною радою  на 2022 рік з урахуванням змін</t>
  </si>
  <si>
    <t>Затверджено обласною радою на 2022 рік із урахуванням змін</t>
  </si>
  <si>
    <t>Затверджено місцевими радами на 2022 рік з урахуванням змін (кошторисні призначення)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</si>
  <si>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</si>
  <si>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</si>
  <si>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Виплата компенсації реабілітованим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</si>
  <si>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</si>
  <si>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</si>
  <si>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</si>
  <si>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за січень-вересень 2022 року</t>
  </si>
  <si>
    <t>План на січень-вересень 2022 року</t>
  </si>
  <si>
    <t>Відхилення на січень-вересень 2022 року (+/-)</t>
  </si>
  <si>
    <t xml:space="preserve">Процент виконання до плану на січень-вересень 2022 року </t>
  </si>
  <si>
    <t>Відхилення до плану на січень-вересень 2022 року (+/-)</t>
  </si>
  <si>
    <t/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</si>
  <si>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</si>
  <si>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</si>
  <si>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(по квартальному звіту)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</si>
</sst>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\ _г_р_н_."/>
    <numFmt numFmtId="200" formatCode="0.00;[Red]0.00"/>
    <numFmt numFmtId="201" formatCode="#,##0.00\ &quot;грн.&quot;"/>
    <numFmt numFmtId="202" formatCode="0.0%"/>
    <numFmt numFmtId="203" formatCode="#,##0.00;\-#,##0.00"/>
    <numFmt numFmtId="204" formatCode="#0.00"/>
  </numFmts>
  <fonts count="8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5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5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color indexed="10"/>
      <name val="Times New Roman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i/>
      <sz val="16"/>
      <color indexed="10"/>
      <name val="Times New Roman Cyr"/>
      <family val="1"/>
    </font>
    <font>
      <sz val="14"/>
      <name val="Times New Roman Cyr"/>
      <family val="0"/>
    </font>
    <font>
      <sz val="16"/>
      <name val="Times New Roman Cyr"/>
      <family val="0"/>
    </font>
    <font>
      <i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7" fillId="0" borderId="0" xfId="54" applyFont="1" applyFill="1" applyProtection="1">
      <alignment/>
      <protection/>
    </xf>
    <xf numFmtId="0" fontId="4" fillId="0" borderId="0" xfId="54" applyFont="1" applyFill="1" applyAlignment="1" applyProtection="1">
      <alignment horizontal="left" vertical="center"/>
      <protection/>
    </xf>
    <xf numFmtId="0" fontId="9" fillId="0" borderId="0" xfId="54" applyFont="1" applyProtection="1">
      <alignment/>
      <protection/>
    </xf>
    <xf numFmtId="0" fontId="10" fillId="0" borderId="10" xfId="54" applyFont="1" applyBorder="1" applyAlignment="1" applyProtection="1">
      <alignment horizontal="center" vertical="center"/>
      <protection/>
    </xf>
    <xf numFmtId="0" fontId="7" fillId="0" borderId="0" xfId="54" applyFont="1" applyProtection="1">
      <alignment/>
      <protection/>
    </xf>
    <xf numFmtId="0" fontId="5" fillId="0" borderId="10" xfId="54" applyFont="1" applyBorder="1" applyAlignment="1" applyProtection="1">
      <alignment horizontal="center" vertical="center" wrapText="1"/>
      <protection/>
    </xf>
    <xf numFmtId="183" fontId="8" fillId="0" borderId="10" xfId="54" applyNumberFormat="1" applyFont="1" applyBorder="1" applyProtection="1">
      <alignment/>
      <protection locked="0"/>
    </xf>
    <xf numFmtId="0" fontId="5" fillId="33" borderId="10" xfId="54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 vertical="center" wrapText="1"/>
      <protection/>
    </xf>
    <xf numFmtId="183" fontId="5" fillId="33" borderId="10" xfId="54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54" applyFont="1" applyProtection="1">
      <alignment/>
      <protection/>
    </xf>
    <xf numFmtId="0" fontId="9" fillId="0" borderId="10" xfId="54" applyFont="1" applyBorder="1" applyAlignment="1" applyProtection="1">
      <alignment horizontal="center" vertical="center"/>
      <protection/>
    </xf>
    <xf numFmtId="183" fontId="12" fillId="0" borderId="10" xfId="54" applyNumberFormat="1" applyFont="1" applyBorder="1" applyProtection="1">
      <alignment/>
      <protection locked="0"/>
    </xf>
    <xf numFmtId="49" fontId="10" fillId="0" borderId="10" xfId="54" applyNumberFormat="1" applyFont="1" applyBorder="1" applyAlignment="1" applyProtection="1">
      <alignment horizontal="center" vertical="top" wrapText="1"/>
      <protection/>
    </xf>
    <xf numFmtId="0" fontId="10" fillId="0" borderId="10" xfId="54" applyFont="1" applyBorder="1" applyAlignment="1" applyProtection="1">
      <alignment horizontal="center" vertical="top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17" fillId="0" borderId="0" xfId="54" applyFont="1" applyAlignment="1" applyProtection="1">
      <alignment/>
      <protection/>
    </xf>
    <xf numFmtId="0" fontId="18" fillId="0" borderId="0" xfId="54" applyFont="1" applyFill="1" applyAlignment="1" applyProtection="1">
      <alignment/>
      <protection/>
    </xf>
    <xf numFmtId="0" fontId="16" fillId="0" borderId="0" xfId="55" applyFont="1" applyAlignment="1" applyProtection="1">
      <alignment/>
      <protection/>
    </xf>
    <xf numFmtId="0" fontId="15" fillId="0" borderId="0" xfId="54" applyFont="1" applyFill="1" applyAlignment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54" applyFont="1" applyProtection="1">
      <alignment/>
      <protection/>
    </xf>
    <xf numFmtId="192" fontId="23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5" fillId="0" borderId="0" xfId="54" applyFont="1" applyProtection="1">
      <alignment/>
      <protection/>
    </xf>
    <xf numFmtId="0" fontId="15" fillId="0" borderId="0" xfId="0" applyFont="1" applyFill="1" applyAlignment="1" applyProtection="1">
      <alignment/>
      <protection/>
    </xf>
    <xf numFmtId="183" fontId="20" fillId="0" borderId="0" xfId="54" applyNumberFormat="1" applyFo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183" fontId="20" fillId="0" borderId="0" xfId="54" applyNumberFormat="1" applyFont="1" applyBorder="1" applyProtection="1">
      <alignment/>
      <protection/>
    </xf>
    <xf numFmtId="0" fontId="5" fillId="0" borderId="11" xfId="54" applyFont="1" applyFill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wrapText="1"/>
      <protection/>
    </xf>
    <xf numFmtId="49" fontId="10" fillId="0" borderId="12" xfId="54" applyNumberFormat="1" applyFont="1" applyBorder="1" applyAlignment="1" applyProtection="1">
      <alignment horizontal="center" vertical="top" wrapText="1"/>
      <protection/>
    </xf>
    <xf numFmtId="183" fontId="7" fillId="0" borderId="0" xfId="54" applyNumberFormat="1" applyFont="1" applyBorder="1" applyAlignment="1" applyProtection="1">
      <alignment wrapText="1"/>
      <protection/>
    </xf>
    <xf numFmtId="183" fontId="7" fillId="0" borderId="0" xfId="54" applyNumberFormat="1" applyFont="1" applyBorder="1" applyAlignment="1" applyProtection="1">
      <alignment horizontal="center"/>
      <protection/>
    </xf>
    <xf numFmtId="183" fontId="7" fillId="0" borderId="0" xfId="54" applyNumberFormat="1" applyFont="1" applyBorder="1" applyAlignment="1" applyProtection="1">
      <alignment horizontal="center" vertical="center" wrapText="1"/>
      <protection/>
    </xf>
    <xf numFmtId="183" fontId="7" fillId="0" borderId="0" xfId="54" applyNumberFormat="1" applyFont="1" applyAlignment="1" applyProtection="1">
      <alignment wrapText="1"/>
      <protection/>
    </xf>
    <xf numFmtId="183" fontId="7" fillId="0" borderId="0" xfId="54" applyNumberFormat="1" applyFont="1" applyAlignment="1" applyProtection="1">
      <alignment horizontal="center"/>
      <protection/>
    </xf>
    <xf numFmtId="183" fontId="5" fillId="0" borderId="0" xfId="54" applyNumberFormat="1" applyFont="1" applyBorder="1" applyAlignment="1" applyProtection="1">
      <alignment horizontal="center" vertical="center" wrapText="1"/>
      <protection/>
    </xf>
    <xf numFmtId="183" fontId="28" fillId="0" borderId="0" xfId="0" applyNumberFormat="1" applyFont="1" applyBorder="1" applyAlignment="1">
      <alignment horizontal="center" vertical="center"/>
    </xf>
    <xf numFmtId="183" fontId="12" fillId="0" borderId="10" xfId="54" applyNumberFormat="1" applyFont="1" applyFill="1" applyBorder="1" applyProtection="1">
      <alignment/>
      <protection locked="0"/>
    </xf>
    <xf numFmtId="183" fontId="7" fillId="0" borderId="0" xfId="54" applyNumberFormat="1" applyFont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5" fillId="0" borderId="0" xfId="54" applyFont="1" applyFill="1" applyAlignment="1" applyProtection="1">
      <alignment horizontal="center" wrapText="1"/>
      <protection/>
    </xf>
    <xf numFmtId="2" fontId="7" fillId="0" borderId="0" xfId="54" applyNumberFormat="1" applyFont="1" applyFill="1" applyProtection="1">
      <alignment/>
      <protection/>
    </xf>
    <xf numFmtId="192" fontId="5" fillId="0" borderId="0" xfId="56" applyNumberFormat="1" applyFont="1" applyAlignment="1" applyProtection="1">
      <alignment horizontal="center"/>
      <protection/>
    </xf>
    <xf numFmtId="183" fontId="26" fillId="0" borderId="0" xfId="54" applyNumberFormat="1" applyFont="1" applyFill="1" applyBorder="1" applyProtection="1">
      <alignment/>
      <protection/>
    </xf>
    <xf numFmtId="183" fontId="27" fillId="0" borderId="0" xfId="54" applyNumberFormat="1" applyFont="1" applyFill="1" applyBorder="1" applyProtection="1">
      <alignment/>
      <protection/>
    </xf>
    <xf numFmtId="0" fontId="23" fillId="0" borderId="0" xfId="54" applyFont="1" applyFill="1" applyProtection="1">
      <alignment/>
      <protection/>
    </xf>
    <xf numFmtId="0" fontId="2" fillId="0" borderId="0" xfId="54" applyFont="1" applyFill="1" applyProtection="1">
      <alignment/>
      <protection/>
    </xf>
    <xf numFmtId="0" fontId="22" fillId="0" borderId="0" xfId="54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 applyProtection="1">
      <alignment horizontal="centerContinuous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0" fontId="10" fillId="0" borderId="10" xfId="54" applyFont="1" applyFill="1" applyBorder="1" applyAlignment="1" applyProtection="1">
      <alignment horizontal="centerContinuous" vertical="center" wrapText="1"/>
      <protection/>
    </xf>
    <xf numFmtId="0" fontId="10" fillId="0" borderId="14" xfId="0" applyFont="1" applyFill="1" applyBorder="1" applyAlignment="1" applyProtection="1">
      <alignment horizontal="centerContinuous" vertical="center" wrapText="1"/>
      <protection/>
    </xf>
    <xf numFmtId="0" fontId="10" fillId="0" borderId="13" xfId="0" applyFont="1" applyFill="1" applyBorder="1" applyAlignment="1" applyProtection="1">
      <alignment horizontal="centerContinuous" vertical="center" wrapText="1"/>
      <protection/>
    </xf>
    <xf numFmtId="0" fontId="25" fillId="0" borderId="0" xfId="54" applyFont="1" applyFill="1" applyProtection="1">
      <alignment/>
      <protection/>
    </xf>
    <xf numFmtId="0" fontId="10" fillId="0" borderId="10" xfId="54" applyFont="1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/>
      <protection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/>
      <protection hidden="1"/>
    </xf>
    <xf numFmtId="49" fontId="24" fillId="0" borderId="10" xfId="54" applyNumberFormat="1" applyFont="1" applyFill="1" applyBorder="1" applyAlignment="1" applyProtection="1">
      <alignment horizontal="center"/>
      <protection/>
    </xf>
    <xf numFmtId="49" fontId="24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4" borderId="10" xfId="54" applyNumberFormat="1" applyFont="1" applyFill="1" applyBorder="1" applyAlignment="1" applyProtection="1">
      <alignment horizontal="center"/>
      <protection/>
    </xf>
    <xf numFmtId="49" fontId="31" fillId="0" borderId="10" xfId="54" applyNumberFormat="1" applyFont="1" applyFill="1" applyBorder="1" applyAlignment="1" applyProtection="1">
      <alignment horizontal="center" vertical="center" wrapText="1"/>
      <protection/>
    </xf>
    <xf numFmtId="49" fontId="24" fillId="33" borderId="10" xfId="54" applyNumberFormat="1" applyFont="1" applyFill="1" applyBorder="1" applyAlignment="1" applyProtection="1">
      <alignment horizontal="center"/>
      <protection/>
    </xf>
    <xf numFmtId="0" fontId="30" fillId="0" borderId="10" xfId="54" applyFont="1" applyFill="1" applyBorder="1" applyProtection="1">
      <alignment/>
      <protection locked="0"/>
    </xf>
    <xf numFmtId="192" fontId="24" fillId="33" borderId="10" xfId="54" applyNumberFormat="1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2" fontId="20" fillId="0" borderId="0" xfId="54" applyNumberFormat="1" applyFont="1" applyFill="1" applyProtection="1">
      <alignment/>
      <protection/>
    </xf>
    <xf numFmtId="192" fontId="7" fillId="0" borderId="0" xfId="54" applyNumberFormat="1" applyFont="1" applyFill="1" applyProtection="1">
      <alignment/>
      <protection/>
    </xf>
    <xf numFmtId="183" fontId="20" fillId="0" borderId="0" xfId="54" applyNumberFormat="1" applyFont="1" applyBorder="1" applyProtection="1">
      <alignment/>
      <protection/>
    </xf>
    <xf numFmtId="183" fontId="20" fillId="0" borderId="0" xfId="54" applyNumberFormat="1" applyFont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Protection="1">
      <alignment/>
      <protection/>
    </xf>
    <xf numFmtId="192" fontId="18" fillId="0" borderId="0" xfId="54" applyNumberFormat="1" applyFont="1" applyFill="1" applyAlignment="1" applyProtection="1">
      <alignment horizontal="left"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192" fontId="20" fillId="0" borderId="0" xfId="54" applyNumberFormat="1" applyFont="1" applyProtection="1">
      <alignment/>
      <protection/>
    </xf>
    <xf numFmtId="192" fontId="20" fillId="0" borderId="0" xfId="54" applyNumberFormat="1" applyFont="1" applyBorder="1" applyProtection="1">
      <alignment/>
      <protection/>
    </xf>
    <xf numFmtId="0" fontId="10" fillId="0" borderId="15" xfId="54" applyFont="1" applyFill="1" applyBorder="1" applyAlignment="1" applyProtection="1">
      <alignment horizontal="center" vertical="center" wrapText="1"/>
      <protection/>
    </xf>
    <xf numFmtId="49" fontId="24" fillId="35" borderId="10" xfId="54" applyNumberFormat="1" applyFont="1" applyFill="1" applyBorder="1" applyAlignment="1" applyProtection="1">
      <alignment horizontal="center" vertical="center" wrapText="1"/>
      <protection/>
    </xf>
    <xf numFmtId="0" fontId="22" fillId="35" borderId="0" xfId="54" applyFont="1" applyFill="1" applyProtection="1">
      <alignment/>
      <protection/>
    </xf>
    <xf numFmtId="0" fontId="23" fillId="35" borderId="0" xfId="54" applyFont="1" applyFill="1" applyProtection="1">
      <alignment/>
      <protection/>
    </xf>
    <xf numFmtId="0" fontId="2" fillId="35" borderId="0" xfId="54" applyFont="1" applyFill="1" applyProtection="1">
      <alignment/>
      <protection/>
    </xf>
    <xf numFmtId="192" fontId="15" fillId="35" borderId="0" xfId="54" applyNumberFormat="1" applyFont="1" applyFill="1" applyBorder="1" applyAlignment="1" applyProtection="1">
      <alignment horizontal="center" wrapText="1"/>
      <protection/>
    </xf>
    <xf numFmtId="0" fontId="10" fillId="35" borderId="10" xfId="54" applyFont="1" applyFill="1" applyBorder="1" applyAlignment="1" applyProtection="1">
      <alignment horizontal="center" vertical="center" wrapText="1"/>
      <protection/>
    </xf>
    <xf numFmtId="49" fontId="10" fillId="35" borderId="10" xfId="54" applyNumberFormat="1" applyFont="1" applyFill="1" applyBorder="1" applyAlignment="1" applyProtection="1">
      <alignment horizontal="center" vertical="top" wrapText="1"/>
      <protection/>
    </xf>
    <xf numFmtId="183" fontId="20" fillId="35" borderId="0" xfId="54" applyNumberFormat="1" applyFont="1" applyFill="1" applyBorder="1" applyAlignment="1" applyProtection="1">
      <alignment horizontal="center" vertical="center" wrapText="1"/>
      <protection/>
    </xf>
    <xf numFmtId="183" fontId="20" fillId="35" borderId="0" xfId="54" applyNumberFormat="1" applyFont="1" applyFill="1" applyBorder="1" applyAlignment="1" applyProtection="1">
      <alignment horizontal="center"/>
      <protection/>
    </xf>
    <xf numFmtId="183" fontId="20" fillId="35" borderId="0" xfId="54" applyNumberFormat="1" applyFont="1" applyFill="1" applyAlignment="1" applyProtection="1">
      <alignment horizontal="center"/>
      <protection/>
    </xf>
    <xf numFmtId="0" fontId="20" fillId="35" borderId="0" xfId="54" applyFont="1" applyFill="1" applyAlignment="1" applyProtection="1">
      <alignment horizontal="center"/>
      <protection/>
    </xf>
    <xf numFmtId="0" fontId="15" fillId="35" borderId="0" xfId="54" applyFont="1" applyFill="1" applyAlignment="1" applyProtection="1">
      <alignment horizontal="center" wrapText="1"/>
      <protection/>
    </xf>
    <xf numFmtId="2" fontId="20" fillId="35" borderId="0" xfId="54" applyNumberFormat="1" applyFont="1" applyFill="1" applyProtection="1">
      <alignment/>
      <protection/>
    </xf>
    <xf numFmtId="0" fontId="10" fillId="35" borderId="10" xfId="0" applyFont="1" applyFill="1" applyBorder="1" applyAlignment="1" applyProtection="1">
      <alignment horizontal="centerContinuous" vertical="center" wrapText="1"/>
      <protection/>
    </xf>
    <xf numFmtId="183" fontId="20" fillId="35" borderId="0" xfId="54" applyNumberFormat="1" applyFont="1" applyFill="1" applyBorder="1" applyProtection="1">
      <alignment/>
      <protection/>
    </xf>
    <xf numFmtId="183" fontId="20" fillId="35" borderId="0" xfId="54" applyNumberFormat="1" applyFont="1" applyFill="1" applyProtection="1">
      <alignment/>
      <protection/>
    </xf>
    <xf numFmtId="0" fontId="20" fillId="35" borderId="0" xfId="54" applyFont="1" applyFill="1" applyProtection="1">
      <alignment/>
      <protection/>
    </xf>
    <xf numFmtId="0" fontId="10" fillId="35" borderId="15" xfId="54" applyFont="1" applyFill="1" applyBorder="1" applyAlignment="1" applyProtection="1">
      <alignment horizontal="center" vertical="center" wrapText="1"/>
      <protection/>
    </xf>
    <xf numFmtId="192" fontId="20" fillId="35" borderId="0" xfId="54" applyNumberFormat="1" applyFont="1" applyFill="1" applyProtection="1">
      <alignment/>
      <protection/>
    </xf>
    <xf numFmtId="49" fontId="10" fillId="35" borderId="16" xfId="54" applyNumberFormat="1" applyFont="1" applyFill="1" applyBorder="1" applyAlignment="1" applyProtection="1">
      <alignment horizontal="center" vertical="top" wrapText="1"/>
      <protection/>
    </xf>
    <xf numFmtId="0" fontId="20" fillId="35" borderId="0" xfId="54" applyFont="1" applyFill="1" applyProtection="1">
      <alignment/>
      <protection/>
    </xf>
    <xf numFmtId="183" fontId="26" fillId="35" borderId="0" xfId="54" applyNumberFormat="1" applyFont="1" applyFill="1" applyBorder="1" applyProtection="1">
      <alignment/>
      <protection/>
    </xf>
    <xf numFmtId="0" fontId="7" fillId="35" borderId="0" xfId="54" applyFont="1" applyFill="1" applyProtection="1">
      <alignment/>
      <protection/>
    </xf>
    <xf numFmtId="0" fontId="5" fillId="33" borderId="10" xfId="54" applyNumberFormat="1" applyFont="1" applyFill="1" applyBorder="1" applyAlignment="1" applyProtection="1">
      <alignment horizontal="center"/>
      <protection/>
    </xf>
    <xf numFmtId="183" fontId="27" fillId="35" borderId="0" xfId="54" applyNumberFormat="1" applyFont="1" applyFill="1" applyBorder="1" applyProtection="1">
      <alignment/>
      <protection/>
    </xf>
    <xf numFmtId="183" fontId="20" fillId="36" borderId="0" xfId="54" applyNumberFormat="1" applyFont="1" applyFill="1" applyProtection="1">
      <alignment/>
      <protection/>
    </xf>
    <xf numFmtId="0" fontId="20" fillId="36" borderId="0" xfId="54" applyFont="1" applyFill="1" applyProtection="1">
      <alignment/>
      <protection/>
    </xf>
    <xf numFmtId="183" fontId="20" fillId="36" borderId="0" xfId="54" applyNumberFormat="1" applyFont="1" applyFill="1" applyBorder="1" applyProtection="1">
      <alignment/>
      <protection/>
    </xf>
    <xf numFmtId="183" fontId="20" fillId="35" borderId="0" xfId="54" applyNumberFormat="1" applyFont="1" applyFill="1" applyProtection="1">
      <alignment/>
      <protection/>
    </xf>
    <xf numFmtId="0" fontId="5" fillId="0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4" borderId="0" xfId="54" applyFont="1" applyFill="1" applyProtection="1">
      <alignment/>
      <protection/>
    </xf>
    <xf numFmtId="192" fontId="20" fillId="0" borderId="0" xfId="54" applyNumberFormat="1" applyFont="1" applyProtection="1">
      <alignment/>
      <protection/>
    </xf>
    <xf numFmtId="192" fontId="7" fillId="0" borderId="0" xfId="54" applyNumberFormat="1" applyFont="1" applyProtection="1">
      <alignment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92" fontId="20" fillId="35" borderId="0" xfId="54" applyNumberFormat="1" applyFont="1" applyFill="1" applyBorder="1" applyProtection="1">
      <alignment/>
      <protection/>
    </xf>
    <xf numFmtId="192" fontId="27" fillId="0" borderId="10" xfId="54" applyNumberFormat="1" applyFont="1" applyBorder="1" applyProtection="1">
      <alignment/>
      <protection locked="0"/>
    </xf>
    <xf numFmtId="192" fontId="12" fillId="0" borderId="10" xfId="54" applyNumberFormat="1" applyFont="1" applyBorder="1" applyProtection="1">
      <alignment/>
      <protection locked="0"/>
    </xf>
    <xf numFmtId="192" fontId="15" fillId="36" borderId="10" xfId="54" applyNumberFormat="1" applyFont="1" applyFill="1" applyBorder="1" applyProtection="1">
      <alignment/>
      <protection/>
    </xf>
    <xf numFmtId="192" fontId="5" fillId="0" borderId="10" xfId="54" applyNumberFormat="1" applyFont="1" applyFill="1" applyBorder="1" applyProtection="1">
      <alignment/>
      <protection/>
    </xf>
    <xf numFmtId="192" fontId="12" fillId="0" borderId="10" xfId="54" applyNumberFormat="1" applyFont="1" applyBorder="1" applyProtection="1">
      <alignment/>
      <protection/>
    </xf>
    <xf numFmtId="192" fontId="27" fillId="36" borderId="10" xfId="54" applyNumberFormat="1" applyFont="1" applyFill="1" applyBorder="1" applyProtection="1">
      <alignment/>
      <protection locked="0"/>
    </xf>
    <xf numFmtId="192" fontId="21" fillId="0" borderId="10" xfId="54" applyNumberFormat="1" applyFont="1" applyBorder="1" applyProtection="1">
      <alignment/>
      <protection/>
    </xf>
    <xf numFmtId="192" fontId="10" fillId="0" borderId="10" xfId="54" applyNumberFormat="1" applyFont="1" applyBorder="1" applyProtection="1">
      <alignment/>
      <protection/>
    </xf>
    <xf numFmtId="192" fontId="21" fillId="36" borderId="10" xfId="54" applyNumberFormat="1" applyFont="1" applyFill="1" applyBorder="1" applyProtection="1">
      <alignment/>
      <protection/>
    </xf>
    <xf numFmtId="192" fontId="7" fillId="0" borderId="10" xfId="54" applyNumberFormat="1" applyFont="1" applyFill="1" applyBorder="1" applyProtection="1">
      <alignment/>
      <protection/>
    </xf>
    <xf numFmtId="192" fontId="22" fillId="0" borderId="10" xfId="0" applyNumberFormat="1" applyFont="1" applyFill="1" applyBorder="1" applyAlignment="1">
      <alignment vertical="center"/>
    </xf>
    <xf numFmtId="192" fontId="13" fillId="0" borderId="10" xfId="0" applyNumberFormat="1" applyFont="1" applyFill="1" applyBorder="1" applyAlignment="1">
      <alignment vertical="center"/>
    </xf>
    <xf numFmtId="192" fontId="22" fillId="36" borderId="10" xfId="0" applyNumberFormat="1" applyFont="1" applyFill="1" applyBorder="1" applyAlignment="1">
      <alignment/>
    </xf>
    <xf numFmtId="192" fontId="15" fillId="33" borderId="10" xfId="54" applyNumberFormat="1" applyFont="1" applyFill="1" applyBorder="1" applyProtection="1">
      <alignment/>
      <protection/>
    </xf>
    <xf numFmtId="192" fontId="5" fillId="33" borderId="10" xfId="54" applyNumberFormat="1" applyFont="1" applyFill="1" applyBorder="1" applyProtection="1">
      <alignment/>
      <protection/>
    </xf>
    <xf numFmtId="192" fontId="11" fillId="33" borderId="10" xfId="54" applyNumberFormat="1" applyFont="1" applyFill="1" applyBorder="1" applyProtection="1">
      <alignment/>
      <protection/>
    </xf>
    <xf numFmtId="192" fontId="15" fillId="0" borderId="0" xfId="0" applyNumberFormat="1" applyFont="1" applyFill="1" applyAlignment="1" applyProtection="1">
      <alignment/>
      <protection/>
    </xf>
    <xf numFmtId="192" fontId="7" fillId="0" borderId="0" xfId="54" applyNumberFormat="1" applyFont="1" applyBorder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83" fontId="4" fillId="0" borderId="10" xfId="54" applyNumberFormat="1" applyFont="1" applyFill="1" applyBorder="1" applyProtection="1">
      <alignment/>
      <protection/>
    </xf>
    <xf numFmtId="0" fontId="35" fillId="0" borderId="10" xfId="54" applyFont="1" applyFill="1" applyBorder="1" applyAlignment="1" applyProtection="1">
      <alignment vertical="center" wrapText="1"/>
      <protection/>
    </xf>
    <xf numFmtId="183" fontId="35" fillId="0" borderId="10" xfId="54" applyNumberFormat="1" applyFont="1" applyFill="1" applyBorder="1" applyProtection="1">
      <alignment/>
      <protection locked="0"/>
    </xf>
    <xf numFmtId="183" fontId="4" fillId="0" borderId="10" xfId="54" applyNumberFormat="1" applyFont="1" applyFill="1" applyBorder="1" applyProtection="1">
      <alignment/>
      <protection locked="0"/>
    </xf>
    <xf numFmtId="183" fontId="36" fillId="0" borderId="10" xfId="54" applyNumberFormat="1" applyFont="1" applyFill="1" applyBorder="1" applyProtection="1">
      <alignment/>
      <protection locked="0"/>
    </xf>
    <xf numFmtId="0" fontId="4" fillId="35" borderId="10" xfId="54" applyFont="1" applyFill="1" applyBorder="1" applyAlignment="1" applyProtection="1">
      <alignment horizontal="center" vertical="center" wrapText="1"/>
      <protection/>
    </xf>
    <xf numFmtId="183" fontId="4" fillId="35" borderId="10" xfId="54" applyNumberFormat="1" applyFont="1" applyFill="1" applyBorder="1" applyProtection="1">
      <alignment/>
      <protection locked="0"/>
    </xf>
    <xf numFmtId="183" fontId="34" fillId="0" borderId="10" xfId="54" applyNumberFormat="1" applyFont="1" applyFill="1" applyBorder="1" applyProtection="1">
      <alignment/>
      <protection locked="0"/>
    </xf>
    <xf numFmtId="183" fontId="34" fillId="35" borderId="10" xfId="54" applyNumberFormat="1" applyFont="1" applyFill="1" applyBorder="1" applyProtection="1">
      <alignment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83" fontId="4" fillId="33" borderId="10" xfId="54" applyNumberFormat="1" applyFont="1" applyFill="1" applyBorder="1" applyProtection="1">
      <alignment/>
      <protection/>
    </xf>
    <xf numFmtId="183" fontId="38" fillId="0" borderId="10" xfId="0" applyNumberFormat="1" applyFont="1" applyFill="1" applyBorder="1" applyAlignment="1">
      <alignment vertical="center"/>
    </xf>
    <xf numFmtId="183" fontId="39" fillId="0" borderId="10" xfId="0" applyNumberFormat="1" applyFont="1" applyFill="1" applyBorder="1" applyAlignment="1">
      <alignment vertical="center"/>
    </xf>
    <xf numFmtId="183" fontId="41" fillId="0" borderId="10" xfId="0" applyNumberFormat="1" applyFont="1" applyFill="1" applyBorder="1" applyAlignment="1">
      <alignment vertical="center"/>
    </xf>
    <xf numFmtId="0" fontId="34" fillId="0" borderId="10" xfId="54" applyFont="1" applyFill="1" applyBorder="1" applyAlignment="1" applyProtection="1">
      <alignment horizontal="center" vertical="center" wrapText="1"/>
      <protection/>
    </xf>
    <xf numFmtId="192" fontId="4" fillId="33" borderId="10" xfId="54" applyNumberFormat="1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wrapText="1"/>
      <protection/>
    </xf>
    <xf numFmtId="0" fontId="41" fillId="0" borderId="10" xfId="54" applyFont="1" applyFill="1" applyBorder="1" applyAlignment="1" applyProtection="1">
      <alignment vertical="center" wrapText="1"/>
      <protection/>
    </xf>
    <xf numFmtId="0" fontId="4" fillId="0" borderId="10" xfId="54" applyFont="1" applyFill="1" applyBorder="1" applyAlignment="1" applyProtection="1">
      <alignment horizontal="left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38" fillId="0" borderId="10" xfId="54" applyFont="1" applyFill="1" applyBorder="1" applyAlignment="1" applyProtection="1">
      <alignment horizontal="left" vertical="center" wrapText="1"/>
      <protection/>
    </xf>
    <xf numFmtId="0" fontId="38" fillId="35" borderId="10" xfId="54" applyFont="1" applyFill="1" applyBorder="1" applyAlignment="1" applyProtection="1">
      <alignment horizontal="left" vertical="center" wrapText="1"/>
      <protection/>
    </xf>
    <xf numFmtId="0" fontId="41" fillId="0" borderId="10" xfId="54" applyFont="1" applyFill="1" applyBorder="1" applyAlignment="1" applyProtection="1">
      <alignment horizontal="left" vertical="center" wrapText="1"/>
      <protection/>
    </xf>
    <xf numFmtId="0" fontId="38" fillId="34" borderId="10" xfId="54" applyFont="1" applyFill="1" applyBorder="1" applyAlignment="1" applyProtection="1">
      <alignment horizontal="center" vertical="center" wrapText="1"/>
      <protection/>
    </xf>
    <xf numFmtId="0" fontId="38" fillId="33" borderId="10" xfId="54" applyFont="1" applyFill="1" applyBorder="1" applyAlignment="1" applyProtection="1">
      <alignment horizontal="center" vertical="center" wrapText="1"/>
      <protection/>
    </xf>
    <xf numFmtId="0" fontId="35" fillId="35" borderId="10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192" fontId="38" fillId="33" borderId="10" xfId="54" applyNumberFormat="1" applyFont="1" applyFill="1" applyBorder="1" applyAlignment="1" applyProtection="1">
      <alignment horizontal="left"/>
      <protection/>
    </xf>
    <xf numFmtId="0" fontId="34" fillId="0" borderId="10" xfId="54" applyFont="1" applyFill="1" applyBorder="1" applyAlignment="1" applyProtection="1">
      <alignment vertical="center" wrapText="1"/>
      <protection/>
    </xf>
    <xf numFmtId="49" fontId="31" fillId="35" borderId="10" xfId="54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/>
      <protection/>
    </xf>
    <xf numFmtId="4" fontId="15" fillId="35" borderId="0" xfId="54" applyNumberFormat="1" applyFont="1" applyFill="1" applyBorder="1" applyAlignment="1" applyProtection="1">
      <alignment horizontal="centerContinuous" vertical="center"/>
      <protection/>
    </xf>
    <xf numFmtId="4" fontId="5" fillId="0" borderId="0" xfId="54" applyNumberFormat="1" applyFont="1" applyBorder="1" applyAlignment="1" applyProtection="1">
      <alignment horizontal="centerContinuous" vertical="center"/>
      <protection/>
    </xf>
    <xf numFmtId="4" fontId="7" fillId="0" borderId="0" xfId="54" applyNumberFormat="1" applyFont="1" applyBorder="1" applyAlignment="1" applyProtection="1">
      <alignment horizontal="centerContinuous" vertical="center"/>
      <protection/>
    </xf>
    <xf numFmtId="4" fontId="20" fillId="0" borderId="0" xfId="54" applyNumberFormat="1" applyFont="1" applyBorder="1" applyAlignment="1" applyProtection="1">
      <alignment horizontal="centerContinuous" vertical="center"/>
      <protection/>
    </xf>
    <xf numFmtId="4" fontId="20" fillId="35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Protection="1">
      <alignment/>
      <protection/>
    </xf>
    <xf numFmtId="192" fontId="4" fillId="35" borderId="10" xfId="54" applyNumberFormat="1" applyFont="1" applyFill="1" applyBorder="1" applyAlignment="1" applyProtection="1">
      <alignment horizontal="center"/>
      <protection/>
    </xf>
    <xf numFmtId="192" fontId="4" fillId="0" borderId="10" xfId="54" applyNumberFormat="1" applyFont="1" applyFill="1" applyBorder="1" applyAlignment="1" applyProtection="1">
      <alignment horizontal="center"/>
      <protection/>
    </xf>
    <xf numFmtId="192" fontId="35" fillId="35" borderId="10" xfId="54" applyNumberFormat="1" applyFont="1" applyFill="1" applyBorder="1" applyAlignment="1" applyProtection="1">
      <alignment horizontal="center"/>
      <protection/>
    </xf>
    <xf numFmtId="192" fontId="35" fillId="0" borderId="10" xfId="54" applyNumberFormat="1" applyFont="1" applyFill="1" applyBorder="1" applyAlignment="1" applyProtection="1">
      <alignment horizontal="center"/>
      <protection/>
    </xf>
    <xf numFmtId="192" fontId="36" fillId="35" borderId="10" xfId="54" applyNumberFormat="1" applyFont="1" applyFill="1" applyBorder="1" applyAlignment="1" applyProtection="1">
      <alignment horizontal="center"/>
      <protection/>
    </xf>
    <xf numFmtId="192" fontId="38" fillId="34" borderId="10" xfId="54" applyNumberFormat="1" applyFont="1" applyFill="1" applyBorder="1" applyAlignment="1" applyProtection="1">
      <alignment horizontal="center" vertical="center" wrapText="1"/>
      <protection/>
    </xf>
    <xf numFmtId="192" fontId="38" fillId="33" borderId="10" xfId="54" applyNumberFormat="1" applyFont="1" applyFill="1" applyBorder="1" applyAlignment="1" applyProtection="1">
      <alignment horizontal="center"/>
      <protection/>
    </xf>
    <xf numFmtId="192" fontId="4" fillId="35" borderId="10" xfId="0" applyNumberFormat="1" applyFont="1" applyFill="1" applyBorder="1" applyAlignment="1" applyProtection="1">
      <alignment horizontal="center"/>
      <protection/>
    </xf>
    <xf numFmtId="192" fontId="43" fillId="35" borderId="10" xfId="0" applyNumberFormat="1" applyFont="1" applyFill="1" applyBorder="1" applyAlignment="1">
      <alignment horizontal="center"/>
    </xf>
    <xf numFmtId="192" fontId="41" fillId="35" borderId="10" xfId="0" applyNumberFormat="1" applyFont="1" applyFill="1" applyBorder="1" applyAlignment="1">
      <alignment horizontal="center"/>
    </xf>
    <xf numFmtId="192" fontId="41" fillId="0" borderId="10" xfId="0" applyNumberFormat="1" applyFont="1" applyFill="1" applyBorder="1" applyAlignment="1">
      <alignment horizontal="center"/>
    </xf>
    <xf numFmtId="192" fontId="4" fillId="35" borderId="16" xfId="54" applyNumberFormat="1" applyFont="1" applyFill="1" applyBorder="1" applyAlignment="1" applyProtection="1">
      <alignment horizontal="center"/>
      <protection/>
    </xf>
    <xf numFmtId="192" fontId="4" fillId="0" borderId="12" xfId="54" applyNumberFormat="1" applyFont="1" applyFill="1" applyBorder="1" applyAlignment="1" applyProtection="1">
      <alignment horizontal="center"/>
      <protection/>
    </xf>
    <xf numFmtId="192" fontId="34" fillId="0" borderId="10" xfId="54" applyNumberFormat="1" applyFont="1" applyFill="1" applyBorder="1" applyAlignment="1" applyProtection="1">
      <alignment horizontal="center"/>
      <protection/>
    </xf>
    <xf numFmtId="192" fontId="18" fillId="35" borderId="16" xfId="54" applyNumberFormat="1" applyFont="1" applyFill="1" applyBorder="1" applyAlignment="1" applyProtection="1">
      <alignment horizontal="center"/>
      <protection/>
    </xf>
    <xf numFmtId="192" fontId="35" fillId="0" borderId="10" xfId="54" applyNumberFormat="1" applyFont="1" applyFill="1" applyBorder="1" applyAlignment="1" applyProtection="1">
      <alignment horizontal="center"/>
      <protection locked="0"/>
    </xf>
    <xf numFmtId="192" fontId="35" fillId="0" borderId="10" xfId="54" applyNumberFormat="1" applyFont="1" applyFill="1" applyBorder="1" applyAlignment="1" applyProtection="1">
      <alignment horizontal="center"/>
      <protection locked="0"/>
    </xf>
    <xf numFmtId="192" fontId="37" fillId="35" borderId="16" xfId="54" applyNumberFormat="1" applyFont="1" applyFill="1" applyBorder="1" applyAlignment="1" applyProtection="1">
      <alignment horizontal="center"/>
      <protection locked="0"/>
    </xf>
    <xf numFmtId="192" fontId="37" fillId="35" borderId="10" xfId="54" applyNumberFormat="1" applyFont="1" applyFill="1" applyBorder="1" applyAlignment="1" applyProtection="1">
      <alignment horizontal="center"/>
      <protection locked="0"/>
    </xf>
    <xf numFmtId="192" fontId="35" fillId="0" borderId="12" xfId="54" applyNumberFormat="1" applyFont="1" applyFill="1" applyBorder="1" applyAlignment="1" applyProtection="1">
      <alignment horizontal="center"/>
      <protection/>
    </xf>
    <xf numFmtId="192" fontId="18" fillId="0" borderId="10" xfId="54" applyNumberFormat="1" applyFont="1" applyFill="1" applyBorder="1" applyAlignment="1" applyProtection="1">
      <alignment horizontal="center"/>
      <protection/>
    </xf>
    <xf numFmtId="192" fontId="18" fillId="0" borderId="10" xfId="54" applyNumberFormat="1" applyFont="1" applyFill="1" applyBorder="1" applyAlignment="1" applyProtection="1">
      <alignment horizontal="center"/>
      <protection/>
    </xf>
    <xf numFmtId="192" fontId="37" fillId="0" borderId="10" xfId="54" applyNumberFormat="1" applyFont="1" applyFill="1" applyBorder="1" applyAlignment="1" applyProtection="1">
      <alignment horizontal="center"/>
      <protection locked="0"/>
    </xf>
    <xf numFmtId="192" fontId="37" fillId="0" borderId="10" xfId="54" applyNumberFormat="1" applyFont="1" applyFill="1" applyBorder="1" applyAlignment="1" applyProtection="1">
      <alignment horizontal="center"/>
      <protection locked="0"/>
    </xf>
    <xf numFmtId="192" fontId="35" fillId="35" borderId="10" xfId="54" applyNumberFormat="1" applyFont="1" applyFill="1" applyBorder="1" applyAlignment="1" applyProtection="1">
      <alignment horizontal="center"/>
      <protection locked="0"/>
    </xf>
    <xf numFmtId="192" fontId="4" fillId="0" borderId="10" xfId="54" applyNumberFormat="1" applyFont="1" applyFill="1" applyBorder="1" applyAlignment="1" applyProtection="1">
      <alignment horizontal="center"/>
      <protection/>
    </xf>
    <xf numFmtId="192" fontId="18" fillId="35" borderId="10" xfId="54" applyNumberFormat="1" applyFont="1" applyFill="1" applyBorder="1" applyAlignment="1" applyProtection="1">
      <alignment horizontal="center"/>
      <protection/>
    </xf>
    <xf numFmtId="192" fontId="37" fillId="35" borderId="17" xfId="54" applyNumberFormat="1" applyFont="1" applyFill="1" applyBorder="1" applyAlignment="1" applyProtection="1">
      <alignment horizontal="center"/>
      <protection locked="0"/>
    </xf>
    <xf numFmtId="192" fontId="35" fillId="35" borderId="17" xfId="54" applyNumberFormat="1" applyFont="1" applyFill="1" applyBorder="1" applyAlignment="1" applyProtection="1">
      <alignment horizontal="center"/>
      <protection locked="0"/>
    </xf>
    <xf numFmtId="192" fontId="4" fillId="35" borderId="10" xfId="54" applyNumberFormat="1" applyFont="1" applyFill="1" applyBorder="1" applyAlignment="1" applyProtection="1">
      <alignment horizontal="center"/>
      <protection/>
    </xf>
    <xf numFmtId="192" fontId="35" fillId="35" borderId="10" xfId="54" applyNumberFormat="1" applyFont="1" applyFill="1" applyBorder="1" applyAlignment="1" applyProtection="1">
      <alignment horizontal="center"/>
      <protection locked="0"/>
    </xf>
    <xf numFmtId="192" fontId="18" fillId="35" borderId="10" xfId="54" applyNumberFormat="1" applyFont="1" applyFill="1" applyBorder="1" applyAlignment="1" applyProtection="1">
      <alignment horizontal="center"/>
      <protection/>
    </xf>
    <xf numFmtId="192" fontId="4" fillId="33" borderId="10" xfId="54" applyNumberFormat="1" applyFont="1" applyFill="1" applyBorder="1" applyAlignment="1" applyProtection="1">
      <alignment horizontal="center"/>
      <protection/>
    </xf>
    <xf numFmtId="192" fontId="34" fillId="0" borderId="10" xfId="54" applyNumberFormat="1" applyFont="1" applyFill="1" applyBorder="1" applyAlignment="1" applyProtection="1">
      <alignment horizontal="center"/>
      <protection locked="0"/>
    </xf>
    <xf numFmtId="192" fontId="40" fillId="35" borderId="10" xfId="54" applyNumberFormat="1" applyFont="1" applyFill="1" applyBorder="1" applyAlignment="1" applyProtection="1">
      <alignment horizontal="center"/>
      <protection locked="0"/>
    </xf>
    <xf numFmtId="192" fontId="35" fillId="37" borderId="10" xfId="54" applyNumberFormat="1" applyFont="1" applyFill="1" applyBorder="1" applyAlignment="1" applyProtection="1">
      <alignment horizontal="center"/>
      <protection/>
    </xf>
    <xf numFmtId="0" fontId="42" fillId="35" borderId="18" xfId="0" applyFont="1" applyFill="1" applyBorder="1" applyAlignment="1">
      <alignment horizontal="left" vertical="center" wrapText="1"/>
    </xf>
    <xf numFmtId="192" fontId="35" fillId="0" borderId="19" xfId="0" applyNumberFormat="1" applyFont="1" applyFill="1" applyBorder="1" applyAlignment="1" applyProtection="1">
      <alignment horizontal="center" vertical="top"/>
      <protection/>
    </xf>
    <xf numFmtId="192" fontId="4" fillId="0" borderId="10" xfId="54" applyNumberFormat="1" applyFont="1" applyFill="1" applyBorder="1" applyAlignment="1" applyProtection="1">
      <alignment horizontal="center"/>
      <protection locked="0"/>
    </xf>
    <xf numFmtId="202" fontId="4" fillId="0" borderId="10" xfId="61" applyNumberFormat="1" applyFont="1" applyFill="1" applyBorder="1" applyAlignment="1" applyProtection="1">
      <alignment horizontal="center"/>
      <protection/>
    </xf>
    <xf numFmtId="202" fontId="36" fillId="0" borderId="10" xfId="61" applyNumberFormat="1" applyFont="1" applyFill="1" applyBorder="1" applyAlignment="1" applyProtection="1">
      <alignment horizontal="center"/>
      <protection/>
    </xf>
    <xf numFmtId="202" fontId="4" fillId="33" borderId="10" xfId="61" applyNumberFormat="1" applyFont="1" applyFill="1" applyBorder="1" applyAlignment="1" applyProtection="1">
      <alignment horizontal="center"/>
      <protection/>
    </xf>
    <xf numFmtId="202" fontId="4" fillId="35" borderId="10" xfId="61" applyNumberFormat="1" applyFont="1" applyFill="1" applyBorder="1" applyAlignment="1" applyProtection="1">
      <alignment horizontal="center"/>
      <protection/>
    </xf>
    <xf numFmtId="202" fontId="38" fillId="34" borderId="10" xfId="61" applyNumberFormat="1" applyFont="1" applyFill="1" applyBorder="1" applyAlignment="1" applyProtection="1">
      <alignment horizontal="center" vertical="center" wrapText="1"/>
      <protection/>
    </xf>
    <xf numFmtId="202" fontId="38" fillId="33" borderId="10" xfId="61" applyNumberFormat="1" applyFont="1" applyFill="1" applyBorder="1" applyAlignment="1" applyProtection="1">
      <alignment horizontal="center"/>
      <protection/>
    </xf>
    <xf numFmtId="202" fontId="38" fillId="37" borderId="10" xfId="61" applyNumberFormat="1" applyFont="1" applyFill="1" applyBorder="1" applyAlignment="1" applyProtection="1">
      <alignment horizontal="center"/>
      <protection/>
    </xf>
    <xf numFmtId="49" fontId="44" fillId="0" borderId="10" xfId="54" applyNumberFormat="1" applyFont="1" applyFill="1" applyBorder="1" applyAlignment="1" applyProtection="1">
      <alignment horizontal="center" vertical="center" wrapText="1"/>
      <protection/>
    </xf>
    <xf numFmtId="192" fontId="4" fillId="35" borderId="16" xfId="54" applyNumberFormat="1" applyFont="1" applyFill="1" applyBorder="1" applyAlignment="1" applyProtection="1">
      <alignment horizontal="center"/>
      <protection locked="0"/>
    </xf>
    <xf numFmtId="0" fontId="30" fillId="35" borderId="10" xfId="54" applyFont="1" applyFill="1" applyBorder="1" applyAlignment="1" applyProtection="1">
      <alignment horizontal="center"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 vertical="center"/>
      <protection/>
    </xf>
    <xf numFmtId="49" fontId="3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4" applyFont="1" applyFill="1" applyBorder="1" applyAlignment="1" applyProtection="1">
      <alignment vertical="center" wrapText="1"/>
      <protection/>
    </xf>
    <xf numFmtId="0" fontId="35" fillId="0" borderId="0" xfId="54" applyFont="1" applyFill="1" applyBorder="1" applyAlignment="1" applyProtection="1">
      <alignment horizontal="left" vertical="center" wrapText="1"/>
      <protection/>
    </xf>
    <xf numFmtId="192" fontId="18" fillId="0" borderId="0" xfId="54" applyNumberFormat="1" applyFont="1" applyFill="1" applyAlignment="1" applyProtection="1">
      <alignment horizontal="right" vertical="center"/>
      <protection/>
    </xf>
    <xf numFmtId="192" fontId="5" fillId="0" borderId="0" xfId="54" applyNumberFormat="1" applyFont="1" applyFill="1" applyBorder="1" applyAlignment="1" applyProtection="1">
      <alignment horizontal="center" wrapText="1"/>
      <protection/>
    </xf>
    <xf numFmtId="49" fontId="10" fillId="0" borderId="10" xfId="54" applyNumberFormat="1" applyFont="1" applyFill="1" applyBorder="1" applyAlignment="1" applyProtection="1">
      <alignment horizontal="center" vertical="top" wrapText="1"/>
      <protection/>
    </xf>
    <xf numFmtId="192" fontId="4" fillId="0" borderId="10" xfId="0" applyNumberFormat="1" applyFont="1" applyFill="1" applyBorder="1" applyAlignment="1" applyProtection="1">
      <alignment horizontal="center"/>
      <protection/>
    </xf>
    <xf numFmtId="192" fontId="43" fillId="0" borderId="10" xfId="0" applyNumberFormat="1" applyFont="1" applyFill="1" applyBorder="1" applyAlignment="1">
      <alignment horizontal="center"/>
    </xf>
    <xf numFmtId="4" fontId="5" fillId="0" borderId="0" xfId="54" applyNumberFormat="1" applyFont="1" applyFill="1" applyBorder="1" applyAlignment="1" applyProtection="1">
      <alignment horizontal="centerContinuous" vertical="center"/>
      <protection/>
    </xf>
    <xf numFmtId="4" fontId="7" fillId="0" borderId="0" xfId="54" applyNumberFormat="1" applyFont="1" applyFill="1" applyBorder="1" applyAlignment="1" applyProtection="1">
      <alignment horizontal="centerContinuous" vertical="center"/>
      <protection/>
    </xf>
    <xf numFmtId="183" fontId="7" fillId="0" borderId="0" xfId="54" applyNumberFormat="1" applyFont="1" applyFill="1" applyBorder="1" applyAlignment="1" applyProtection="1">
      <alignment horizontal="center" vertical="center" wrapText="1"/>
      <protection/>
    </xf>
    <xf numFmtId="183" fontId="7" fillId="0" borderId="0" xfId="54" applyNumberFormat="1" applyFont="1" applyFill="1" applyBorder="1" applyAlignment="1" applyProtection="1">
      <alignment horizontal="center"/>
      <protection/>
    </xf>
    <xf numFmtId="183" fontId="7" fillId="0" borderId="0" xfId="54" applyNumberFormat="1" applyFont="1" applyFill="1" applyAlignment="1" applyProtection="1">
      <alignment horizontal="center"/>
      <protection/>
    </xf>
    <xf numFmtId="0" fontId="7" fillId="0" borderId="0" xfId="54" applyFont="1" applyFill="1" applyAlignment="1" applyProtection="1">
      <alignment horizontal="center"/>
      <protection/>
    </xf>
    <xf numFmtId="183" fontId="7" fillId="0" borderId="0" xfId="54" applyNumberFormat="1" applyFont="1" applyFill="1" applyProtection="1">
      <alignment/>
      <protection/>
    </xf>
    <xf numFmtId="192" fontId="15" fillId="0" borderId="0" xfId="56" applyNumberFormat="1" applyFont="1" applyFill="1" applyAlignment="1" applyProtection="1">
      <alignment horizontal="center"/>
      <protection/>
    </xf>
    <xf numFmtId="4" fontId="20" fillId="0" borderId="0" xfId="54" applyNumberFormat="1" applyFont="1" applyFill="1" applyProtection="1">
      <alignment/>
      <protection/>
    </xf>
    <xf numFmtId="4" fontId="29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0" fontId="7" fillId="0" borderId="0" xfId="54" applyFont="1" applyFill="1" applyBorder="1" applyProtection="1">
      <alignment/>
      <protection/>
    </xf>
    <xf numFmtId="0" fontId="29" fillId="0" borderId="0" xfId="54" applyFont="1" applyFill="1" applyProtection="1">
      <alignment/>
      <protection/>
    </xf>
    <xf numFmtId="192" fontId="7" fillId="0" borderId="0" xfId="54" applyNumberFormat="1" applyFont="1" applyFill="1" applyBorder="1" applyProtection="1">
      <alignment/>
      <protection/>
    </xf>
    <xf numFmtId="2" fontId="33" fillId="35" borderId="0" xfId="0" applyNumberFormat="1" applyFont="1" applyFill="1" applyBorder="1" applyAlignment="1">
      <alignment horizontal="right"/>
    </xf>
    <xf numFmtId="202" fontId="4" fillId="37" borderId="10" xfId="61" applyNumberFormat="1" applyFont="1" applyFill="1" applyBorder="1" applyAlignment="1" applyProtection="1">
      <alignment horizontal="center"/>
      <protection/>
    </xf>
    <xf numFmtId="202" fontId="36" fillId="37" borderId="10" xfId="61" applyNumberFormat="1" applyFont="1" applyFill="1" applyBorder="1" applyAlignment="1" applyProtection="1">
      <alignment horizontal="center"/>
      <protection/>
    </xf>
    <xf numFmtId="0" fontId="41" fillId="37" borderId="10" xfId="54" applyFont="1" applyFill="1" applyBorder="1" applyAlignment="1" applyProtection="1">
      <alignment vertical="center" wrapText="1"/>
      <protection/>
    </xf>
    <xf numFmtId="0" fontId="30" fillId="37" borderId="10" xfId="0" applyNumberFormat="1" applyFont="1" applyFill="1" applyBorder="1" applyAlignment="1" applyProtection="1">
      <alignment horizontal="center" vertical="center"/>
      <protection hidden="1"/>
    </xf>
    <xf numFmtId="202" fontId="45" fillId="37" borderId="10" xfId="61" applyNumberFormat="1" applyFont="1" applyFill="1" applyBorder="1" applyAlignment="1" applyProtection="1">
      <alignment horizontal="center"/>
      <protection/>
    </xf>
    <xf numFmtId="202" fontId="45" fillId="37" borderId="10" xfId="61" applyNumberFormat="1" applyFont="1" applyFill="1" applyBorder="1" applyAlignment="1" applyProtection="1">
      <alignment horizontal="center" vertical="center" wrapText="1"/>
      <protection/>
    </xf>
    <xf numFmtId="192" fontId="38" fillId="33" borderId="10" xfId="54" applyNumberFormat="1" applyFont="1" applyFill="1" applyBorder="1" applyAlignment="1" applyProtection="1">
      <alignment horizontal="center" wrapText="1"/>
      <protection/>
    </xf>
    <xf numFmtId="202" fontId="45" fillId="37" borderId="10" xfId="61" applyNumberFormat="1" applyFont="1" applyFill="1" applyBorder="1" applyAlignment="1" applyProtection="1">
      <alignment horizontal="center" wrapText="1"/>
      <protection/>
    </xf>
    <xf numFmtId="192" fontId="46" fillId="0" borderId="10" xfId="54" applyNumberFormat="1" applyFont="1" applyFill="1" applyBorder="1" applyAlignment="1" applyProtection="1">
      <alignment horizontal="center"/>
      <protection/>
    </xf>
    <xf numFmtId="192" fontId="83" fillId="0" borderId="10" xfId="0" applyNumberFormat="1" applyFont="1" applyFill="1" applyBorder="1" applyAlignment="1">
      <alignment horizontal="center"/>
    </xf>
    <xf numFmtId="192" fontId="36" fillId="0" borderId="10" xfId="54" applyNumberFormat="1" applyFont="1" applyFill="1" applyBorder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0" fontId="16" fillId="0" borderId="0" xfId="54" applyFont="1" applyAlignment="1" applyProtection="1">
      <alignment horizontal="center"/>
      <protection/>
    </xf>
    <xf numFmtId="0" fontId="19" fillId="0" borderId="0" xfId="54" applyFont="1" applyFill="1" applyAlignment="1" applyProtection="1">
      <alignment horizontal="center" vertical="center" wrapText="1"/>
      <protection/>
    </xf>
    <xf numFmtId="0" fontId="32" fillId="0" borderId="0" xfId="54" applyFont="1" applyFill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/>
      <protection/>
    </xf>
    <xf numFmtId="0" fontId="4" fillId="0" borderId="14" xfId="54" applyFont="1" applyFill="1" applyBorder="1" applyAlignment="1" applyProtection="1">
      <alignment horizontal="center" vertical="center"/>
      <protection/>
    </xf>
    <xf numFmtId="0" fontId="4" fillId="0" borderId="20" xfId="54" applyFont="1" applyFill="1" applyBorder="1" applyAlignment="1" applyProtection="1">
      <alignment horizontal="center" vertical="center"/>
      <protection/>
    </xf>
    <xf numFmtId="0" fontId="4" fillId="0" borderId="12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 horizontal="center" vertical="center"/>
      <protection/>
    </xf>
    <xf numFmtId="0" fontId="18" fillId="0" borderId="2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20" fillId="0" borderId="0" xfId="54" applyFont="1" applyAlignment="1" applyProtection="1">
      <alignment horizontal="center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/>
    </xf>
    <xf numFmtId="0" fontId="4" fillId="35" borderId="13" xfId="54" applyFont="1" applyFill="1" applyBorder="1" applyAlignment="1" applyProtection="1">
      <alignment horizontal="center" vertical="center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/>
      <protection/>
    </xf>
    <xf numFmtId="0" fontId="4" fillId="0" borderId="10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Обычный_Додаток 4" xfId="55"/>
    <cellStyle name="Обычный_Додаток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Розподіл (2)" xfId="64"/>
    <cellStyle name="Тысячи_Розподіл (2)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showGridLines="0" showZeros="0" view="pageBreakPreview" zoomScale="70" zoomScaleNormal="75" zoomScaleSheetLayoutView="7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5" sqref="K45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4.375" style="80" customWidth="1"/>
    <col min="5" max="5" width="24.25390625" style="80" customWidth="1"/>
    <col min="6" max="6" width="25.00390625" style="80" customWidth="1"/>
    <col min="7" max="7" width="23.625" style="5" customWidth="1"/>
    <col min="8" max="8" width="15.625" style="5" customWidth="1"/>
    <col min="9" max="9" width="24.25390625" style="5" customWidth="1"/>
    <col min="10" max="10" width="16.625" style="5" customWidth="1"/>
    <col min="11" max="11" width="21.625" style="113" customWidth="1"/>
    <col min="12" max="12" width="20.125" style="113" customWidth="1"/>
    <col min="13" max="13" width="20.625" style="23" customWidth="1"/>
    <col min="14" max="14" width="16.1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8" s="18" customFormat="1" ht="18.75">
      <c r="A1" s="268" t="s">
        <v>5</v>
      </c>
      <c r="B1" s="268"/>
      <c r="C1" s="268"/>
      <c r="D1" s="269"/>
      <c r="E1" s="269"/>
      <c r="F1" s="269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8" s="19" customFormat="1" ht="20.25" customHeight="1">
      <c r="A2" s="270" t="s">
        <v>47</v>
      </c>
      <c r="B2" s="270"/>
      <c r="C2" s="270"/>
      <c r="D2" s="271"/>
      <c r="E2" s="271"/>
      <c r="F2" s="271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18" s="20" customFormat="1" ht="15.75" customHeight="1">
      <c r="A3" s="272" t="s">
        <v>6</v>
      </c>
      <c r="B3" s="272"/>
      <c r="C3" s="272"/>
      <c r="D3" s="273"/>
      <c r="E3" s="273"/>
      <c r="F3" s="273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4" spans="1:19" s="21" customFormat="1" ht="26.25" customHeight="1">
      <c r="A4" s="279" t="s">
        <v>210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</row>
    <row r="5" spans="1:18" s="21" customFormat="1" ht="23.25" customHeight="1">
      <c r="A5" s="281" t="s">
        <v>218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2:33" s="1" customFormat="1" ht="20.25">
      <c r="B6" s="2" t="s">
        <v>117</v>
      </c>
      <c r="C6" s="2"/>
      <c r="D6" s="82"/>
      <c r="E6" s="237"/>
      <c r="F6" s="82"/>
      <c r="G6" s="77"/>
      <c r="H6" s="77"/>
      <c r="K6" s="102"/>
      <c r="L6" s="105"/>
      <c r="M6" s="115"/>
      <c r="N6" s="107"/>
      <c r="Q6" s="286" t="s">
        <v>198</v>
      </c>
      <c r="R6" s="286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84" t="s">
        <v>7</v>
      </c>
      <c r="B7" s="285" t="s">
        <v>8</v>
      </c>
      <c r="C7" s="277" t="s">
        <v>55</v>
      </c>
      <c r="D7" s="278"/>
      <c r="E7" s="278"/>
      <c r="F7" s="278"/>
      <c r="G7" s="275"/>
      <c r="H7" s="275"/>
      <c r="I7" s="275"/>
      <c r="J7" s="276"/>
      <c r="K7" s="282" t="s">
        <v>56</v>
      </c>
      <c r="L7" s="283"/>
      <c r="M7" s="283"/>
      <c r="N7" s="283"/>
      <c r="O7" s="274" t="s">
        <v>57</v>
      </c>
      <c r="P7" s="274"/>
      <c r="Q7" s="275"/>
      <c r="R7" s="276"/>
    </row>
    <row r="8" spans="1:18" s="63" customFormat="1" ht="114" customHeight="1">
      <c r="A8" s="284"/>
      <c r="B8" s="285"/>
      <c r="C8" s="57" t="s">
        <v>59</v>
      </c>
      <c r="D8" s="58" t="s">
        <v>202</v>
      </c>
      <c r="E8" s="86" t="s">
        <v>211</v>
      </c>
      <c r="F8" s="86" t="s">
        <v>9</v>
      </c>
      <c r="G8" s="75" t="s">
        <v>212</v>
      </c>
      <c r="H8" s="58" t="s">
        <v>213</v>
      </c>
      <c r="I8" s="58" t="s">
        <v>93</v>
      </c>
      <c r="J8" s="58" t="s">
        <v>199</v>
      </c>
      <c r="K8" s="104" t="s">
        <v>200</v>
      </c>
      <c r="L8" s="100" t="s">
        <v>9</v>
      </c>
      <c r="M8" s="100" t="s">
        <v>186</v>
      </c>
      <c r="N8" s="100" t="s">
        <v>10</v>
      </c>
      <c r="O8" s="60" t="s">
        <v>201</v>
      </c>
      <c r="P8" s="59" t="s">
        <v>9</v>
      </c>
      <c r="Q8" s="61" t="s">
        <v>170</v>
      </c>
      <c r="R8" s="62" t="s">
        <v>10</v>
      </c>
    </row>
    <row r="9" spans="1:33" s="3" customFormat="1" ht="15">
      <c r="A9" s="16">
        <v>1</v>
      </c>
      <c r="B9" s="16">
        <v>2</v>
      </c>
      <c r="C9" s="15" t="s">
        <v>51</v>
      </c>
      <c r="D9" s="15" t="s">
        <v>51</v>
      </c>
      <c r="E9" s="15" t="s">
        <v>169</v>
      </c>
      <c r="F9" s="15" t="s">
        <v>11</v>
      </c>
      <c r="G9" s="15" t="s">
        <v>84</v>
      </c>
      <c r="H9" s="15" t="s">
        <v>85</v>
      </c>
      <c r="I9" s="15" t="s">
        <v>52</v>
      </c>
      <c r="J9" s="15" t="s">
        <v>12</v>
      </c>
      <c r="K9" s="106" t="s">
        <v>13</v>
      </c>
      <c r="L9" s="93" t="s">
        <v>14</v>
      </c>
      <c r="M9" s="93" t="s">
        <v>15</v>
      </c>
      <c r="N9" s="93" t="s">
        <v>53</v>
      </c>
      <c r="O9" s="15" t="s">
        <v>16</v>
      </c>
      <c r="P9" s="15" t="s">
        <v>50</v>
      </c>
      <c r="Q9" s="37" t="s">
        <v>80</v>
      </c>
      <c r="R9" s="15" t="s">
        <v>81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229">
        <v>10000000</v>
      </c>
      <c r="B10" s="142" t="s">
        <v>17</v>
      </c>
      <c r="C10" s="143" t="e">
        <f>C11+#REF!+C15+C21+#REF!</f>
        <v>#REF!</v>
      </c>
      <c r="D10" s="181">
        <f>D11+D15+D21+D26+D31+D25</f>
        <v>4900172.29452</v>
      </c>
      <c r="E10" s="181">
        <f>E11+E15+E21+E26+E31+E25</f>
        <v>3606294.6695200005</v>
      </c>
      <c r="F10" s="181">
        <f>F11+F15+F21+F26+F31+F25</f>
        <v>3838551.6687299996</v>
      </c>
      <c r="G10" s="181">
        <f>F10-E10</f>
        <v>232256.9992099991</v>
      </c>
      <c r="H10" s="219">
        <f>_xlfn.IFERROR(F10/E10,"")</f>
        <v>1.0644032228350637</v>
      </c>
      <c r="I10" s="181">
        <f aca="true" t="shared" si="0" ref="I10:I19">F10-D10</f>
        <v>-1061620.6257900004</v>
      </c>
      <c r="J10" s="219">
        <f>_xlfn.IFERROR(F10/D10,"")</f>
        <v>0.7833503472975347</v>
      </c>
      <c r="K10" s="191">
        <f>K11+K15+K21+K26+K31+K14</f>
        <v>3703.52</v>
      </c>
      <c r="L10" s="180">
        <f>L11+L15+L21+L26+L31+L14</f>
        <v>3287.3340099999996</v>
      </c>
      <c r="M10" s="180">
        <f aca="true" t="shared" si="1" ref="M10:M16">L10-K10</f>
        <v>-416.1859900000004</v>
      </c>
      <c r="N10" s="222">
        <f>_xlfn.IFERROR(L10/K10,"")</f>
        <v>0.8876242088607594</v>
      </c>
      <c r="O10" s="181">
        <f aca="true" t="shared" si="2" ref="O10:O19">D10+K10</f>
        <v>4903875.81452</v>
      </c>
      <c r="P10" s="181">
        <f aca="true" t="shared" si="3" ref="P10:P24">L10+F10</f>
        <v>3841839.0027399994</v>
      </c>
      <c r="Q10" s="192">
        <f aca="true" t="shared" si="4" ref="Q10:Q19">P10-O10</f>
        <v>-1062036.81178</v>
      </c>
      <c r="R10" s="219">
        <f>_xlfn.IFERROR(P10/O10,"")</f>
        <v>0.783429097320248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229">
        <v>11000000</v>
      </c>
      <c r="B11" s="142" t="s">
        <v>34</v>
      </c>
      <c r="C11" s="143">
        <f>C12+C13</f>
        <v>107497.5</v>
      </c>
      <c r="D11" s="181">
        <f>D12+D13</f>
        <v>3437361.77952</v>
      </c>
      <c r="E11" s="181">
        <f>E12+E13</f>
        <v>2546170.96352</v>
      </c>
      <c r="F11" s="181">
        <f>F12+F13</f>
        <v>2822168.27627</v>
      </c>
      <c r="G11" s="181">
        <f aca="true" t="shared" si="5" ref="G11:G66">F11-E11</f>
        <v>275997.3127499996</v>
      </c>
      <c r="H11" s="219">
        <f aca="true" t="shared" si="6" ref="H11:H49">_xlfn.IFERROR(F11/E11,"")</f>
        <v>1.1083970073904394</v>
      </c>
      <c r="I11" s="181">
        <f t="shared" si="0"/>
        <v>-615193.5032500001</v>
      </c>
      <c r="J11" s="219">
        <f aca="true" t="shared" si="7" ref="J11:J49">_xlfn.IFERROR(F11/D11,"")</f>
        <v>0.8210274208215852</v>
      </c>
      <c r="K11" s="194">
        <f>K12+K13</f>
        <v>0</v>
      </c>
      <c r="L11" s="194">
        <f>L12+L13</f>
        <v>0</v>
      </c>
      <c r="M11" s="180">
        <f>L11-K11</f>
        <v>0</v>
      </c>
      <c r="N11" s="222">
        <f aca="true" t="shared" si="8" ref="N11:N49">_xlfn.IFERROR(L11/K11,"")</f>
      </c>
      <c r="O11" s="181">
        <f t="shared" si="2"/>
        <v>3437361.77952</v>
      </c>
      <c r="P11" s="181">
        <f t="shared" si="3"/>
        <v>2822168.27627</v>
      </c>
      <c r="Q11" s="192">
        <f t="shared" si="4"/>
        <v>-615193.5032500001</v>
      </c>
      <c r="R11" s="219">
        <f aca="true" t="shared" si="9" ref="R11:R49">_xlfn.IFERROR(P11/O11,"")</f>
        <v>0.8210274208215852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230">
        <v>11010000</v>
      </c>
      <c r="B12" s="144" t="s">
        <v>178</v>
      </c>
      <c r="C12" s="145">
        <v>106199</v>
      </c>
      <c r="D12" s="217">
        <v>3403917.64852</v>
      </c>
      <c r="E12" s="217">
        <v>2517522.23252</v>
      </c>
      <c r="F12" s="195">
        <v>2788533.2124699997</v>
      </c>
      <c r="G12" s="196">
        <f t="shared" si="5"/>
        <v>271010.9799499996</v>
      </c>
      <c r="H12" s="220">
        <f t="shared" si="6"/>
        <v>1.1076498854505534</v>
      </c>
      <c r="I12" s="196">
        <f t="shared" si="0"/>
        <v>-615384.4360500001</v>
      </c>
      <c r="J12" s="220">
        <f t="shared" si="7"/>
        <v>0.819212889501729</v>
      </c>
      <c r="K12" s="197">
        <v>0</v>
      </c>
      <c r="L12" s="198">
        <v>0</v>
      </c>
      <c r="M12" s="180">
        <f>L12-K12</f>
        <v>0</v>
      </c>
      <c r="N12" s="258">
        <f t="shared" si="8"/>
      </c>
      <c r="O12" s="183">
        <f t="shared" si="2"/>
        <v>3403917.64852</v>
      </c>
      <c r="P12" s="196">
        <f t="shared" si="3"/>
        <v>2788533.2124699997</v>
      </c>
      <c r="Q12" s="199">
        <f t="shared" si="4"/>
        <v>-615384.4360500001</v>
      </c>
      <c r="R12" s="220">
        <f t="shared" si="9"/>
        <v>0.819212889501729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230">
        <v>11020000</v>
      </c>
      <c r="B13" s="144" t="s">
        <v>48</v>
      </c>
      <c r="C13" s="145">
        <v>1298.5</v>
      </c>
      <c r="D13" s="195">
        <v>33444.131</v>
      </c>
      <c r="E13" s="196">
        <v>28648.731</v>
      </c>
      <c r="F13" s="195">
        <v>33635.063799999996</v>
      </c>
      <c r="G13" s="196">
        <f t="shared" si="5"/>
        <v>4986.3327999999965</v>
      </c>
      <c r="H13" s="220">
        <f t="shared" si="6"/>
        <v>1.1740507389315078</v>
      </c>
      <c r="I13" s="196">
        <f t="shared" si="0"/>
        <v>190.93279999999504</v>
      </c>
      <c r="J13" s="220">
        <f t="shared" si="7"/>
        <v>1.0057090076581747</v>
      </c>
      <c r="K13" s="197"/>
      <c r="L13" s="198">
        <v>0</v>
      </c>
      <c r="M13" s="180">
        <f>L13-K13</f>
        <v>0</v>
      </c>
      <c r="N13" s="258">
        <f t="shared" si="8"/>
      </c>
      <c r="O13" s="183">
        <f t="shared" si="2"/>
        <v>33444.131</v>
      </c>
      <c r="P13" s="196">
        <f t="shared" si="3"/>
        <v>33635.063799999996</v>
      </c>
      <c r="Q13" s="199">
        <f t="shared" si="4"/>
        <v>190.93279999999504</v>
      </c>
      <c r="R13" s="220">
        <f t="shared" si="9"/>
        <v>1.0057090076581747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229" t="s">
        <v>192</v>
      </c>
      <c r="B14" s="142" t="s">
        <v>191</v>
      </c>
      <c r="C14" s="145"/>
      <c r="D14" s="213">
        <v>0</v>
      </c>
      <c r="E14" s="213">
        <v>0</v>
      </c>
      <c r="F14" s="213">
        <v>0</v>
      </c>
      <c r="G14" s="213"/>
      <c r="H14" s="219">
        <f t="shared" si="6"/>
      </c>
      <c r="I14" s="213"/>
      <c r="J14" s="219">
        <f t="shared" si="7"/>
      </c>
      <c r="K14" s="227">
        <v>0</v>
      </c>
      <c r="L14" s="227">
        <v>0</v>
      </c>
      <c r="M14" s="180">
        <f>L14-K14</f>
        <v>0</v>
      </c>
      <c r="N14" s="222">
        <f t="shared" si="8"/>
      </c>
      <c r="O14" s="183">
        <f>D14+K14</f>
        <v>0</v>
      </c>
      <c r="P14" s="196">
        <f>L14+F14</f>
        <v>0</v>
      </c>
      <c r="Q14" s="199">
        <f>P14-O14</f>
        <v>0</v>
      </c>
      <c r="R14" s="219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229">
        <v>13000000</v>
      </c>
      <c r="B15" s="142" t="s">
        <v>153</v>
      </c>
      <c r="C15" s="146" t="e">
        <f>C16+#REF!+#REF!+C19</f>
        <v>#REF!</v>
      </c>
      <c r="D15" s="181">
        <f>SUM(D16:D20)</f>
        <v>31788.417</v>
      </c>
      <c r="E15" s="181">
        <f>SUM(E16:E20)</f>
        <v>22313.094999999998</v>
      </c>
      <c r="F15" s="181">
        <f>SUM(F16:F20)</f>
        <v>25353.9959</v>
      </c>
      <c r="G15" s="181">
        <f t="shared" si="5"/>
        <v>3040.900900000004</v>
      </c>
      <c r="H15" s="219">
        <f t="shared" si="6"/>
        <v>1.136283240850272</v>
      </c>
      <c r="I15" s="181">
        <f t="shared" si="0"/>
        <v>-6434.4211</v>
      </c>
      <c r="J15" s="219">
        <f t="shared" si="7"/>
        <v>0.7975859854864745</v>
      </c>
      <c r="K15" s="194">
        <f>SUM(K16:K20)</f>
        <v>0</v>
      </c>
      <c r="L15" s="194">
        <f>SUM(L16:L20)</f>
        <v>0</v>
      </c>
      <c r="M15" s="180">
        <f t="shared" si="1"/>
        <v>0</v>
      </c>
      <c r="N15" s="222">
        <f t="shared" si="8"/>
      </c>
      <c r="O15" s="181">
        <f t="shared" si="2"/>
        <v>31788.417</v>
      </c>
      <c r="P15" s="181">
        <f t="shared" si="3"/>
        <v>25353.9959</v>
      </c>
      <c r="Q15" s="192">
        <f t="shared" si="4"/>
        <v>-6434.4211</v>
      </c>
      <c r="R15" s="219">
        <f t="shared" si="9"/>
        <v>0.7975859854864745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230">
        <v>13010000</v>
      </c>
      <c r="B16" s="144" t="s">
        <v>154</v>
      </c>
      <c r="C16" s="145">
        <v>1</v>
      </c>
      <c r="D16" s="196">
        <v>21779.518</v>
      </c>
      <c r="E16" s="195">
        <v>14706.18</v>
      </c>
      <c r="F16" s="196">
        <v>15754.76474</v>
      </c>
      <c r="G16" s="196">
        <f t="shared" si="5"/>
        <v>1048.5847400000002</v>
      </c>
      <c r="H16" s="220">
        <f t="shared" si="6"/>
        <v>1.0713023191610602</v>
      </c>
      <c r="I16" s="196">
        <f t="shared" si="0"/>
        <v>-6024.7532599999995</v>
      </c>
      <c r="J16" s="220">
        <f t="shared" si="7"/>
        <v>0.7233752712066447</v>
      </c>
      <c r="K16" s="198">
        <v>0</v>
      </c>
      <c r="L16" s="198">
        <v>0</v>
      </c>
      <c r="M16" s="182">
        <f t="shared" si="1"/>
        <v>0</v>
      </c>
      <c r="N16" s="258">
        <f t="shared" si="8"/>
      </c>
      <c r="O16" s="183">
        <f t="shared" si="2"/>
        <v>21779.518</v>
      </c>
      <c r="P16" s="196">
        <f t="shared" si="3"/>
        <v>15754.76474</v>
      </c>
      <c r="Q16" s="199">
        <f t="shared" si="4"/>
        <v>-6024.7532599999995</v>
      </c>
      <c r="R16" s="220">
        <f t="shared" si="9"/>
        <v>0.7233752712066447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230">
        <v>13020000</v>
      </c>
      <c r="B17" s="144" t="s">
        <v>155</v>
      </c>
      <c r="C17" s="145"/>
      <c r="D17" s="196">
        <v>5296</v>
      </c>
      <c r="E17" s="195">
        <v>4175.1</v>
      </c>
      <c r="F17" s="196">
        <v>4287.07157</v>
      </c>
      <c r="G17" s="196">
        <f t="shared" si="5"/>
        <v>111.9715699999997</v>
      </c>
      <c r="H17" s="220">
        <f t="shared" si="6"/>
        <v>1.0268188953557997</v>
      </c>
      <c r="I17" s="196">
        <f t="shared" si="0"/>
        <v>-1008.9284299999999</v>
      </c>
      <c r="J17" s="220">
        <f t="shared" si="7"/>
        <v>0.8094923659365559</v>
      </c>
      <c r="K17" s="198">
        <v>0</v>
      </c>
      <c r="L17" s="198">
        <v>0</v>
      </c>
      <c r="M17" s="182"/>
      <c r="N17" s="258">
        <f t="shared" si="8"/>
      </c>
      <c r="O17" s="183">
        <f t="shared" si="2"/>
        <v>5296</v>
      </c>
      <c r="P17" s="196">
        <f t="shared" si="3"/>
        <v>4287.07157</v>
      </c>
      <c r="Q17" s="199">
        <f t="shared" si="4"/>
        <v>-1008.9284299999999</v>
      </c>
      <c r="R17" s="220">
        <f t="shared" si="9"/>
        <v>0.8094923659365559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230">
        <v>13030000</v>
      </c>
      <c r="B18" s="144" t="s">
        <v>156</v>
      </c>
      <c r="C18" s="145"/>
      <c r="D18" s="196">
        <v>2121.65</v>
      </c>
      <c r="E18" s="195">
        <v>1781.46</v>
      </c>
      <c r="F18" s="196">
        <v>3601.80221</v>
      </c>
      <c r="G18" s="196">
        <f t="shared" si="5"/>
        <v>1820.3422099999998</v>
      </c>
      <c r="H18" s="220">
        <f t="shared" si="6"/>
        <v>2.0218260359480427</v>
      </c>
      <c r="I18" s="196">
        <f t="shared" si="0"/>
        <v>1480.1522099999997</v>
      </c>
      <c r="J18" s="220">
        <f t="shared" si="7"/>
        <v>1.6976420286098082</v>
      </c>
      <c r="K18" s="198">
        <v>0</v>
      </c>
      <c r="L18" s="198">
        <v>0</v>
      </c>
      <c r="M18" s="182"/>
      <c r="N18" s="258">
        <f t="shared" si="8"/>
      </c>
      <c r="O18" s="183">
        <f t="shared" si="2"/>
        <v>2121.65</v>
      </c>
      <c r="P18" s="196">
        <f t="shared" si="3"/>
        <v>3601.80221</v>
      </c>
      <c r="Q18" s="199">
        <f t="shared" si="4"/>
        <v>1480.1522099999997</v>
      </c>
      <c r="R18" s="220">
        <f t="shared" si="9"/>
        <v>1.6976420286098082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230">
        <v>13040000</v>
      </c>
      <c r="B19" s="144" t="s">
        <v>196</v>
      </c>
      <c r="C19" s="145"/>
      <c r="D19" s="196">
        <v>2591.249</v>
      </c>
      <c r="E19" s="196">
        <v>1650.355</v>
      </c>
      <c r="F19" s="196">
        <v>1710.35738</v>
      </c>
      <c r="G19" s="267">
        <f t="shared" si="5"/>
        <v>60.0023799999999</v>
      </c>
      <c r="H19" s="220">
        <f t="shared" si="6"/>
        <v>1.0363572564690626</v>
      </c>
      <c r="I19" s="196">
        <f t="shared" si="0"/>
        <v>-880.8916199999999</v>
      </c>
      <c r="J19" s="220">
        <f t="shared" si="7"/>
        <v>0.660051342036215</v>
      </c>
      <c r="K19" s="197">
        <v>0</v>
      </c>
      <c r="L19" s="198">
        <v>0</v>
      </c>
      <c r="M19" s="182">
        <f>L19-K19</f>
        <v>0</v>
      </c>
      <c r="N19" s="258">
        <f t="shared" si="8"/>
      </c>
      <c r="O19" s="183">
        <f t="shared" si="2"/>
        <v>2591.249</v>
      </c>
      <c r="P19" s="196">
        <f t="shared" si="3"/>
        <v>1710.35738</v>
      </c>
      <c r="Q19" s="199">
        <f t="shared" si="4"/>
        <v>-880.8916199999999</v>
      </c>
      <c r="R19" s="220">
        <f t="shared" si="9"/>
        <v>0.660051342036215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230">
        <v>13070000</v>
      </c>
      <c r="B20" s="144" t="s">
        <v>70</v>
      </c>
      <c r="C20" s="145"/>
      <c r="D20" s="202">
        <v>0</v>
      </c>
      <c r="E20" s="203">
        <v>0</v>
      </c>
      <c r="F20" s="202">
        <v>0</v>
      </c>
      <c r="G20" s="181">
        <f t="shared" si="5"/>
        <v>0</v>
      </c>
      <c r="H20" s="220">
        <f t="shared" si="6"/>
      </c>
      <c r="I20" s="196"/>
      <c r="J20" s="220">
        <f t="shared" si="7"/>
      </c>
      <c r="K20" s="197">
        <v>0</v>
      </c>
      <c r="L20" s="198">
        <v>0</v>
      </c>
      <c r="M20" s="182"/>
      <c r="N20" s="258">
        <f t="shared" si="8"/>
      </c>
      <c r="O20" s="183"/>
      <c r="P20" s="196">
        <f t="shared" si="3"/>
        <v>0</v>
      </c>
      <c r="Q20" s="199"/>
      <c r="R20" s="220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229">
        <v>14000000</v>
      </c>
      <c r="B21" s="142" t="s">
        <v>35</v>
      </c>
      <c r="C21" s="146" t="e">
        <f>C24+#REF!</f>
        <v>#REF!</v>
      </c>
      <c r="D21" s="181">
        <f>D24+D23+D22</f>
        <v>259729.93300000002</v>
      </c>
      <c r="E21" s="181">
        <f>E24+E23+E22</f>
        <v>179863.19299999997</v>
      </c>
      <c r="F21" s="181">
        <f>F22+F23+F24</f>
        <v>168136.74982000003</v>
      </c>
      <c r="G21" s="181">
        <f t="shared" si="5"/>
        <v>-11726.443179999944</v>
      </c>
      <c r="H21" s="219">
        <f t="shared" si="6"/>
        <v>0.9348035416006434</v>
      </c>
      <c r="I21" s="181">
        <f aca="true" t="shared" si="10" ref="I21:I33">F21-D21</f>
        <v>-91593.18317999999</v>
      </c>
      <c r="J21" s="219">
        <f t="shared" si="7"/>
        <v>0.6473522242043623</v>
      </c>
      <c r="K21" s="206">
        <f>((K24+K23+K22)/1000)/1000</f>
        <v>0</v>
      </c>
      <c r="L21" s="206">
        <f>((L24+L23+L22)/1000)/1000</f>
        <v>0</v>
      </c>
      <c r="M21" s="180">
        <f>M24+M23+M22</f>
        <v>0</v>
      </c>
      <c r="N21" s="222">
        <f t="shared" si="8"/>
      </c>
      <c r="O21" s="181">
        <f>O24+O23+O22</f>
        <v>259729.93300000002</v>
      </c>
      <c r="P21" s="181">
        <f>P24+P23+P22</f>
        <v>168136.74982000003</v>
      </c>
      <c r="Q21" s="192">
        <f aca="true" t="shared" si="11" ref="Q21:Q29">P21-O21</f>
        <v>-91593.18317999999</v>
      </c>
      <c r="R21" s="219">
        <f t="shared" si="9"/>
        <v>0.6473522242043623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231">
        <v>14020000</v>
      </c>
      <c r="B22" s="144" t="s">
        <v>116</v>
      </c>
      <c r="C22" s="147"/>
      <c r="D22" s="196">
        <v>28577.652</v>
      </c>
      <c r="E22" s="196">
        <v>17917.795</v>
      </c>
      <c r="F22" s="196">
        <v>5069.07677</v>
      </c>
      <c r="G22" s="196">
        <f t="shared" si="5"/>
        <v>-12848.718229999999</v>
      </c>
      <c r="H22" s="220">
        <f t="shared" si="6"/>
        <v>0.28290739848290486</v>
      </c>
      <c r="I22" s="196">
        <f t="shared" si="10"/>
        <v>-23508.57523</v>
      </c>
      <c r="J22" s="220">
        <f t="shared" si="7"/>
        <v>0.17737905024527556</v>
      </c>
      <c r="K22" s="198">
        <v>0</v>
      </c>
      <c r="L22" s="198">
        <v>0</v>
      </c>
      <c r="M22" s="204"/>
      <c r="N22" s="258">
        <f t="shared" si="8"/>
      </c>
      <c r="O22" s="196">
        <f>D22+K22</f>
        <v>28577.652</v>
      </c>
      <c r="P22" s="196">
        <f>L22+F22</f>
        <v>5069.07677</v>
      </c>
      <c r="Q22" s="196">
        <f t="shared" si="11"/>
        <v>-23508.57523</v>
      </c>
      <c r="R22" s="220">
        <f t="shared" si="9"/>
        <v>0.17737905024527556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231">
        <v>14030000</v>
      </c>
      <c r="B23" s="144" t="s">
        <v>157</v>
      </c>
      <c r="C23" s="147"/>
      <c r="D23" s="196">
        <v>97915.904</v>
      </c>
      <c r="E23" s="196">
        <v>61351.965</v>
      </c>
      <c r="F23" s="196">
        <v>17624.215940000002</v>
      </c>
      <c r="G23" s="196">
        <f t="shared" si="5"/>
        <v>-43727.749059999995</v>
      </c>
      <c r="H23" s="220">
        <f t="shared" si="6"/>
        <v>0.28726408257665426</v>
      </c>
      <c r="I23" s="196">
        <f t="shared" si="10"/>
        <v>-80291.68805999999</v>
      </c>
      <c r="J23" s="220">
        <f t="shared" si="7"/>
        <v>0.17999339453578453</v>
      </c>
      <c r="K23" s="198">
        <v>0</v>
      </c>
      <c r="L23" s="198">
        <v>0</v>
      </c>
      <c r="M23" s="204"/>
      <c r="N23" s="258">
        <f t="shared" si="8"/>
      </c>
      <c r="O23" s="196">
        <f>D23+K23</f>
        <v>97915.904</v>
      </c>
      <c r="P23" s="196">
        <f>L23+F23</f>
        <v>17624.215940000002</v>
      </c>
      <c r="Q23" s="196">
        <f t="shared" si="11"/>
        <v>-80291.68805999999</v>
      </c>
      <c r="R23" s="220">
        <f t="shared" si="9"/>
        <v>0.17999339453578453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231">
        <v>14040000</v>
      </c>
      <c r="B24" s="144" t="s">
        <v>158</v>
      </c>
      <c r="C24" s="147" t="e">
        <f>#REF!+#REF!+#REF!+#REF!+#REF!</f>
        <v>#REF!</v>
      </c>
      <c r="D24" s="196">
        <v>133236.377</v>
      </c>
      <c r="E24" s="196">
        <v>100593.433</v>
      </c>
      <c r="F24" s="196">
        <v>145443.45711000002</v>
      </c>
      <c r="G24" s="196">
        <f t="shared" si="5"/>
        <v>44850.02411000001</v>
      </c>
      <c r="H24" s="220">
        <f t="shared" si="6"/>
        <v>1.445854393994089</v>
      </c>
      <c r="I24" s="196">
        <f t="shared" si="10"/>
        <v>12207.08011000001</v>
      </c>
      <c r="J24" s="220">
        <f t="shared" si="7"/>
        <v>1.0916197241688732</v>
      </c>
      <c r="K24" s="198">
        <v>0</v>
      </c>
      <c r="L24" s="198">
        <v>0</v>
      </c>
      <c r="M24" s="204">
        <f>L24-K24</f>
        <v>0</v>
      </c>
      <c r="N24" s="258">
        <f t="shared" si="8"/>
      </c>
      <c r="O24" s="196">
        <f>D24+K24</f>
        <v>133236.377</v>
      </c>
      <c r="P24" s="196">
        <f t="shared" si="3"/>
        <v>145443.45711000002</v>
      </c>
      <c r="Q24" s="196">
        <f t="shared" si="11"/>
        <v>12207.08011000001</v>
      </c>
      <c r="R24" s="220">
        <f t="shared" si="9"/>
        <v>1.0916197241688732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>
      <c r="A25" s="234">
        <v>16000000</v>
      </c>
      <c r="B25" s="235" t="s">
        <v>193</v>
      </c>
      <c r="C25" s="147"/>
      <c r="D25" s="213">
        <v>0</v>
      </c>
      <c r="E25" s="213">
        <v>0</v>
      </c>
      <c r="F25" s="213">
        <v>0.0315</v>
      </c>
      <c r="G25" s="213">
        <f t="shared" si="5"/>
        <v>0.0315</v>
      </c>
      <c r="H25" s="220">
        <f t="shared" si="6"/>
      </c>
      <c r="I25" s="213">
        <f t="shared" si="10"/>
        <v>0.0315</v>
      </c>
      <c r="J25" s="219">
        <f t="shared" si="7"/>
      </c>
      <c r="K25" s="197"/>
      <c r="L25" s="197"/>
      <c r="M25" s="204"/>
      <c r="N25" s="222">
        <f t="shared" si="8"/>
      </c>
      <c r="O25" s="196">
        <f>D25+K25</f>
        <v>0</v>
      </c>
      <c r="P25" s="218">
        <f>L25+F25</f>
        <v>0.0315</v>
      </c>
      <c r="Q25" s="218">
        <f>P25-O25</f>
        <v>0.0315</v>
      </c>
      <c r="R25" s="219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229">
        <v>18000000</v>
      </c>
      <c r="B26" s="142" t="s">
        <v>18</v>
      </c>
      <c r="C26" s="142"/>
      <c r="D26" s="181">
        <f>SUM(D27:D30)</f>
        <v>1171292.165</v>
      </c>
      <c r="E26" s="181">
        <f>SUM(E27:E30)</f>
        <v>857947.4180000001</v>
      </c>
      <c r="F26" s="181">
        <f>SUM(F27:F30)</f>
        <v>822892.6502399999</v>
      </c>
      <c r="G26" s="181">
        <f t="shared" si="5"/>
        <v>-35054.76776000019</v>
      </c>
      <c r="H26" s="219">
        <f t="shared" si="6"/>
        <v>0.9591411233083282</v>
      </c>
      <c r="I26" s="181">
        <f t="shared" si="10"/>
        <v>-348399.51476000017</v>
      </c>
      <c r="J26" s="219">
        <f t="shared" si="7"/>
        <v>0.7025511437959631</v>
      </c>
      <c r="K26" s="194">
        <f>(K27+K28+K29+K30)/1000</f>
        <v>0</v>
      </c>
      <c r="L26" s="194">
        <f>(L27+L28+L29+L30)/1000</f>
        <v>0</v>
      </c>
      <c r="M26" s="180">
        <f aca="true" t="shared" si="12" ref="M26:M33">L26-K26</f>
        <v>0</v>
      </c>
      <c r="N26" s="222">
        <f t="shared" si="8"/>
      </c>
      <c r="O26" s="181">
        <f aca="true" t="shared" si="13" ref="O26:O58">D26+K26</f>
        <v>1171292.165</v>
      </c>
      <c r="P26" s="181">
        <f aca="true" t="shared" si="14" ref="P26:P32">L26+F26</f>
        <v>822892.6502399999</v>
      </c>
      <c r="Q26" s="192">
        <f t="shared" si="11"/>
        <v>-348399.51476000017</v>
      </c>
      <c r="R26" s="219">
        <f t="shared" si="9"/>
        <v>0.7025511437959631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230">
        <v>18010000</v>
      </c>
      <c r="B27" s="144" t="s">
        <v>159</v>
      </c>
      <c r="C27" s="142"/>
      <c r="D27" s="196">
        <v>524303.148</v>
      </c>
      <c r="E27" s="195">
        <v>393489.213</v>
      </c>
      <c r="F27" s="196">
        <v>358181.13389999996</v>
      </c>
      <c r="G27" s="196">
        <f t="shared" si="5"/>
        <v>-35308.07910000003</v>
      </c>
      <c r="H27" s="220">
        <f t="shared" si="6"/>
        <v>0.9102692578767082</v>
      </c>
      <c r="I27" s="196">
        <f t="shared" si="10"/>
        <v>-166122.0141000001</v>
      </c>
      <c r="J27" s="220">
        <f t="shared" si="7"/>
        <v>0.6831565579308708</v>
      </c>
      <c r="K27" s="198">
        <v>0</v>
      </c>
      <c r="L27" s="207">
        <v>0</v>
      </c>
      <c r="M27" s="208">
        <f>L27-K27</f>
        <v>0</v>
      </c>
      <c r="N27" s="258">
        <f t="shared" si="8"/>
      </c>
      <c r="O27" s="183">
        <f t="shared" si="13"/>
        <v>524303.148</v>
      </c>
      <c r="P27" s="183">
        <f t="shared" si="14"/>
        <v>358181.13389999996</v>
      </c>
      <c r="Q27" s="183">
        <f t="shared" si="11"/>
        <v>-166122.0141000001</v>
      </c>
      <c r="R27" s="220">
        <f t="shared" si="9"/>
        <v>0.6831565579308708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230">
        <v>18020000</v>
      </c>
      <c r="B28" s="144" t="s">
        <v>63</v>
      </c>
      <c r="C28" s="145"/>
      <c r="D28" s="196">
        <v>2607.7</v>
      </c>
      <c r="E28" s="195">
        <v>1888.9</v>
      </c>
      <c r="F28" s="196">
        <v>1955.05671</v>
      </c>
      <c r="G28" s="196">
        <f t="shared" si="5"/>
        <v>66.15670999999998</v>
      </c>
      <c r="H28" s="220">
        <f t="shared" si="6"/>
        <v>1.0350239345650907</v>
      </c>
      <c r="I28" s="196">
        <f t="shared" si="10"/>
        <v>-652.6432899999998</v>
      </c>
      <c r="J28" s="220">
        <f t="shared" si="7"/>
        <v>0.749724550370058</v>
      </c>
      <c r="K28" s="197">
        <v>0</v>
      </c>
      <c r="L28" s="198">
        <v>0</v>
      </c>
      <c r="M28" s="182">
        <f t="shared" si="12"/>
        <v>0</v>
      </c>
      <c r="N28" s="258">
        <f t="shared" si="8"/>
      </c>
      <c r="O28" s="183">
        <f t="shared" si="13"/>
        <v>2607.7</v>
      </c>
      <c r="P28" s="196">
        <f t="shared" si="14"/>
        <v>1955.05671</v>
      </c>
      <c r="Q28" s="199">
        <f t="shared" si="11"/>
        <v>-652.6432899999998</v>
      </c>
      <c r="R28" s="220">
        <f t="shared" si="9"/>
        <v>0.749724550370058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230">
        <v>18030000</v>
      </c>
      <c r="B29" s="144" t="s">
        <v>64</v>
      </c>
      <c r="C29" s="145"/>
      <c r="D29" s="196">
        <v>1175.483</v>
      </c>
      <c r="E29" s="195">
        <v>795.083</v>
      </c>
      <c r="F29" s="196">
        <v>1588.9506000000001</v>
      </c>
      <c r="G29" s="196">
        <f t="shared" si="5"/>
        <v>793.8676000000002</v>
      </c>
      <c r="H29" s="220">
        <f t="shared" si="6"/>
        <v>1.9984713545629829</v>
      </c>
      <c r="I29" s="196">
        <f t="shared" si="10"/>
        <v>413.4676000000002</v>
      </c>
      <c r="J29" s="220">
        <f t="shared" si="7"/>
        <v>1.351742730435064</v>
      </c>
      <c r="K29" s="197">
        <v>0</v>
      </c>
      <c r="L29" s="198">
        <v>0</v>
      </c>
      <c r="M29" s="182">
        <f t="shared" si="12"/>
        <v>0</v>
      </c>
      <c r="N29" s="258">
        <f t="shared" si="8"/>
      </c>
      <c r="O29" s="183">
        <f t="shared" si="13"/>
        <v>1175.483</v>
      </c>
      <c r="P29" s="196">
        <f t="shared" si="14"/>
        <v>1588.9506000000001</v>
      </c>
      <c r="Q29" s="199">
        <f t="shared" si="11"/>
        <v>413.4676000000002</v>
      </c>
      <c r="R29" s="220">
        <f t="shared" si="9"/>
        <v>1.351742730435064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230">
        <v>18050000</v>
      </c>
      <c r="B30" s="144" t="s">
        <v>65</v>
      </c>
      <c r="C30" s="145"/>
      <c r="D30" s="196">
        <v>643205.834</v>
      </c>
      <c r="E30" s="195">
        <v>461774.222</v>
      </c>
      <c r="F30" s="196">
        <v>461167.50902999996</v>
      </c>
      <c r="G30" s="196">
        <f>F30-E30</f>
        <v>-606.7129700000514</v>
      </c>
      <c r="H30" s="220">
        <f t="shared" si="6"/>
        <v>0.9986861263771453</v>
      </c>
      <c r="I30" s="196">
        <f>F30-D30</f>
        <v>-182038.32497000007</v>
      </c>
      <c r="J30" s="220">
        <f t="shared" si="7"/>
        <v>0.7169827831972058</v>
      </c>
      <c r="K30" s="198">
        <v>0</v>
      </c>
      <c r="L30" s="198">
        <v>0</v>
      </c>
      <c r="M30" s="182">
        <f t="shared" si="12"/>
        <v>0</v>
      </c>
      <c r="N30" s="258">
        <f t="shared" si="8"/>
      </c>
      <c r="O30" s="183">
        <f>D30+K30</f>
        <v>643205.834</v>
      </c>
      <c r="P30" s="196">
        <f>L30+F30</f>
        <v>461167.50902999996</v>
      </c>
      <c r="Q30" s="199">
        <f>P30-O30</f>
        <v>-182038.32497000007</v>
      </c>
      <c r="R30" s="220">
        <f t="shared" si="9"/>
        <v>0.7169827831972058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229">
        <v>19000000</v>
      </c>
      <c r="B31" s="142" t="s">
        <v>66</v>
      </c>
      <c r="C31" s="145"/>
      <c r="D31" s="181">
        <f>D32+D33</f>
        <v>0</v>
      </c>
      <c r="E31" s="181">
        <f>E32+E33</f>
        <v>0</v>
      </c>
      <c r="F31" s="181">
        <f>F32+F33</f>
        <v>-0.035</v>
      </c>
      <c r="G31" s="218">
        <f t="shared" si="5"/>
        <v>-0.035</v>
      </c>
      <c r="H31" s="219">
        <f t="shared" si="6"/>
      </c>
      <c r="I31" s="218">
        <f t="shared" si="10"/>
        <v>-0.035</v>
      </c>
      <c r="J31" s="219">
        <f t="shared" si="7"/>
      </c>
      <c r="K31" s="180">
        <f>K32+K33</f>
        <v>3703.52</v>
      </c>
      <c r="L31" s="180">
        <f>L32+L33</f>
        <v>3287.3340099999996</v>
      </c>
      <c r="M31" s="180">
        <f t="shared" si="12"/>
        <v>-416.1859900000004</v>
      </c>
      <c r="N31" s="222">
        <f t="shared" si="8"/>
        <v>0.8876242088607594</v>
      </c>
      <c r="O31" s="181">
        <f t="shared" si="13"/>
        <v>3703.52</v>
      </c>
      <c r="P31" s="181">
        <f t="shared" si="14"/>
        <v>3287.2990099999997</v>
      </c>
      <c r="Q31" s="181">
        <f aca="true" t="shared" si="15" ref="Q31:Q54">P31-O31</f>
        <v>-416.22099000000026</v>
      </c>
      <c r="R31" s="219">
        <f t="shared" si="9"/>
        <v>0.8876147583920162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230">
        <v>19010000</v>
      </c>
      <c r="B32" s="144" t="s">
        <v>67</v>
      </c>
      <c r="C32" s="145"/>
      <c r="D32" s="202">
        <v>0</v>
      </c>
      <c r="E32" s="203">
        <v>0</v>
      </c>
      <c r="F32" s="202">
        <v>0</v>
      </c>
      <c r="G32" s="196">
        <f t="shared" si="5"/>
        <v>0</v>
      </c>
      <c r="H32" s="220">
        <f t="shared" si="6"/>
      </c>
      <c r="I32" s="196">
        <f t="shared" si="10"/>
        <v>0</v>
      </c>
      <c r="J32" s="220">
        <f t="shared" si="7"/>
      </c>
      <c r="K32" s="204">
        <v>3703.52</v>
      </c>
      <c r="L32" s="204">
        <v>3287.3340099999996</v>
      </c>
      <c r="M32" s="182">
        <f t="shared" si="12"/>
        <v>-416.1859900000004</v>
      </c>
      <c r="N32" s="258">
        <f t="shared" si="8"/>
        <v>0.8876242088607594</v>
      </c>
      <c r="O32" s="183">
        <f t="shared" si="13"/>
        <v>3703.52</v>
      </c>
      <c r="P32" s="196">
        <f t="shared" si="14"/>
        <v>3287.3340099999996</v>
      </c>
      <c r="Q32" s="183">
        <f t="shared" si="15"/>
        <v>-416.1859900000004</v>
      </c>
      <c r="R32" s="220">
        <f t="shared" si="9"/>
        <v>0.8876242088607594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66" customHeight="1">
      <c r="A33" s="230">
        <v>19090000</v>
      </c>
      <c r="B33" s="144" t="s">
        <v>197</v>
      </c>
      <c r="C33" s="145"/>
      <c r="D33" s="196">
        <v>0</v>
      </c>
      <c r="E33" s="203">
        <v>0</v>
      </c>
      <c r="F33" s="196">
        <v>-0.035</v>
      </c>
      <c r="G33" s="196">
        <f t="shared" si="5"/>
        <v>-0.035</v>
      </c>
      <c r="H33" s="220">
        <f t="shared" si="6"/>
      </c>
      <c r="I33" s="196">
        <f t="shared" si="10"/>
        <v>-0.035</v>
      </c>
      <c r="J33" s="220">
        <f t="shared" si="7"/>
      </c>
      <c r="K33" s="204">
        <v>0</v>
      </c>
      <c r="L33" s="204"/>
      <c r="M33" s="182">
        <f t="shared" si="12"/>
        <v>0</v>
      </c>
      <c r="N33" s="258">
        <f t="shared" si="8"/>
      </c>
      <c r="O33" s="183">
        <f>D33+K33</f>
        <v>0</v>
      </c>
      <c r="P33" s="196">
        <f>L33+F33</f>
        <v>-0.035</v>
      </c>
      <c r="Q33" s="183">
        <f>P33-O33</f>
        <v>-0.035</v>
      </c>
      <c r="R33" s="220">
        <f t="shared" si="9"/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09" customFormat="1" ht="23.25" customHeight="1">
      <c r="A34" s="232">
        <v>20000000</v>
      </c>
      <c r="B34" s="148" t="s">
        <v>19</v>
      </c>
      <c r="C34" s="149">
        <v>5750.4</v>
      </c>
      <c r="D34" s="180">
        <f>(D35+D36+D41+D45)</f>
        <v>156083.404</v>
      </c>
      <c r="E34" s="180">
        <f>(E35+E36+E41+E45)</f>
        <v>117453.948</v>
      </c>
      <c r="F34" s="180">
        <f>(F35+F36+F41+F45)</f>
        <v>139396.83394</v>
      </c>
      <c r="G34" s="180">
        <f t="shared" si="5"/>
        <v>21942.885940000007</v>
      </c>
      <c r="H34" s="219">
        <f t="shared" si="6"/>
        <v>1.186821186632228</v>
      </c>
      <c r="I34" s="180">
        <f aca="true" t="shared" si="16" ref="I34:I42">F34-D34</f>
        <v>-16686.57006</v>
      </c>
      <c r="J34" s="219">
        <f t="shared" si="7"/>
        <v>0.8930919647293187</v>
      </c>
      <c r="K34" s="180">
        <f>K35+K36+K41+K45</f>
        <v>364450.87191</v>
      </c>
      <c r="L34" s="180">
        <f>L35+L36+L41+L45</f>
        <v>234445.82929</v>
      </c>
      <c r="M34" s="180">
        <f aca="true" t="shared" si="17" ref="M34:M46">L34-K34</f>
        <v>-130005.04262</v>
      </c>
      <c r="N34" s="222">
        <f t="shared" si="8"/>
        <v>0.6432851376135428</v>
      </c>
      <c r="O34" s="180">
        <f t="shared" si="13"/>
        <v>520534.27590999997</v>
      </c>
      <c r="P34" s="180">
        <f aca="true" t="shared" si="18" ref="P34:P58">L34+F34</f>
        <v>373842.66323</v>
      </c>
      <c r="Q34" s="180">
        <f t="shared" si="15"/>
        <v>-146691.61267999996</v>
      </c>
      <c r="R34" s="219">
        <f t="shared" si="9"/>
        <v>0.7181902912665009</v>
      </c>
      <c r="S34" s="108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1:33" s="1" customFormat="1" ht="45.75" customHeight="1">
      <c r="A35" s="229">
        <v>21000000</v>
      </c>
      <c r="B35" s="142" t="s">
        <v>49</v>
      </c>
      <c r="C35" s="146">
        <v>1</v>
      </c>
      <c r="D35" s="181">
        <v>24833.138</v>
      </c>
      <c r="E35" s="205">
        <v>18674.307</v>
      </c>
      <c r="F35" s="181">
        <v>16589.32849</v>
      </c>
      <c r="G35" s="181">
        <f t="shared" si="5"/>
        <v>-2084.978510000001</v>
      </c>
      <c r="H35" s="219">
        <f t="shared" si="6"/>
        <v>0.8883504212499023</v>
      </c>
      <c r="I35" s="181">
        <f t="shared" si="16"/>
        <v>-8243.80951</v>
      </c>
      <c r="J35" s="219">
        <f t="shared" si="7"/>
        <v>0.6680319051905563</v>
      </c>
      <c r="K35" s="180">
        <v>797.834</v>
      </c>
      <c r="L35" s="180">
        <v>943.40787</v>
      </c>
      <c r="M35" s="180">
        <f t="shared" si="17"/>
        <v>145.57387000000006</v>
      </c>
      <c r="N35" s="222">
        <f t="shared" si="8"/>
        <v>1.1824613516094828</v>
      </c>
      <c r="O35" s="181">
        <f t="shared" si="13"/>
        <v>25630.971999999998</v>
      </c>
      <c r="P35" s="181">
        <f t="shared" si="18"/>
        <v>17532.73636</v>
      </c>
      <c r="Q35" s="181">
        <f t="shared" si="15"/>
        <v>-8098.235639999999</v>
      </c>
      <c r="R35" s="219">
        <f t="shared" si="9"/>
        <v>0.6840449265833539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1" customFormat="1" ht="44.25" customHeight="1">
      <c r="A36" s="229">
        <v>22000000</v>
      </c>
      <c r="B36" s="142" t="s">
        <v>160</v>
      </c>
      <c r="C36" s="146">
        <v>4948.8</v>
      </c>
      <c r="D36" s="181">
        <f>SUM(D37:D40)</f>
        <v>129046.802</v>
      </c>
      <c r="E36" s="209">
        <f>SUM(E37:E40)</f>
        <v>96972.39</v>
      </c>
      <c r="F36" s="181">
        <f>SUM(F37:F40)</f>
        <v>112957.28374</v>
      </c>
      <c r="G36" s="181">
        <f t="shared" si="5"/>
        <v>15984.89374</v>
      </c>
      <c r="H36" s="219">
        <f t="shared" si="6"/>
        <v>1.1648396387879065</v>
      </c>
      <c r="I36" s="181">
        <f t="shared" si="16"/>
        <v>-16089.518259999997</v>
      </c>
      <c r="J36" s="219">
        <f t="shared" si="7"/>
        <v>0.8753202868212108</v>
      </c>
      <c r="K36" s="206">
        <f>SUM(K37:K40)</f>
        <v>0</v>
      </c>
      <c r="L36" s="206">
        <f>SUM(L37:L40)</f>
        <v>0</v>
      </c>
      <c r="M36" s="180">
        <f t="shared" si="17"/>
        <v>0</v>
      </c>
      <c r="N36" s="222">
        <f t="shared" si="8"/>
      </c>
      <c r="O36" s="181">
        <f t="shared" si="13"/>
        <v>129046.802</v>
      </c>
      <c r="P36" s="181">
        <f t="shared" si="18"/>
        <v>112957.28374</v>
      </c>
      <c r="Q36" s="181">
        <f t="shared" si="15"/>
        <v>-16089.518259999997</v>
      </c>
      <c r="R36" s="219">
        <f t="shared" si="9"/>
        <v>0.8753202868212108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22.5" customHeight="1">
      <c r="A37" s="230">
        <v>22010000</v>
      </c>
      <c r="B37" s="144" t="s">
        <v>94</v>
      </c>
      <c r="C37" s="146"/>
      <c r="D37" s="204">
        <v>81383.207</v>
      </c>
      <c r="E37" s="195">
        <v>61585.254</v>
      </c>
      <c r="F37" s="196">
        <v>69488.63921</v>
      </c>
      <c r="G37" s="196">
        <f t="shared" si="5"/>
        <v>7903.385209999993</v>
      </c>
      <c r="H37" s="220">
        <f t="shared" si="6"/>
        <v>1.128332428571294</v>
      </c>
      <c r="I37" s="196">
        <f t="shared" si="16"/>
        <v>-11894.567790000001</v>
      </c>
      <c r="J37" s="220">
        <f t="shared" si="7"/>
        <v>0.8538449364621377</v>
      </c>
      <c r="K37" s="206"/>
      <c r="L37" s="206">
        <v>0</v>
      </c>
      <c r="M37" s="184">
        <f t="shared" si="17"/>
        <v>0</v>
      </c>
      <c r="N37" s="258">
        <f t="shared" si="8"/>
      </c>
      <c r="O37" s="183">
        <f t="shared" si="13"/>
        <v>81383.207</v>
      </c>
      <c r="P37" s="196">
        <f t="shared" si="18"/>
        <v>69488.63921</v>
      </c>
      <c r="Q37" s="183">
        <f t="shared" si="15"/>
        <v>-11894.567790000001</v>
      </c>
      <c r="R37" s="220">
        <f t="shared" si="9"/>
        <v>0.8538449364621377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" customFormat="1" ht="61.5" customHeight="1">
      <c r="A38" s="230">
        <v>22080000</v>
      </c>
      <c r="B38" s="144" t="s">
        <v>161</v>
      </c>
      <c r="C38" s="145">
        <v>259.6</v>
      </c>
      <c r="D38" s="204">
        <v>46675.708</v>
      </c>
      <c r="E38" s="195">
        <v>34753.074</v>
      </c>
      <c r="F38" s="204">
        <v>42849.08382</v>
      </c>
      <c r="G38" s="196">
        <f t="shared" si="5"/>
        <v>8096.009819999999</v>
      </c>
      <c r="H38" s="220">
        <f t="shared" si="6"/>
        <v>1.2329580922827144</v>
      </c>
      <c r="I38" s="196">
        <f t="shared" si="16"/>
        <v>-3826.624179999999</v>
      </c>
      <c r="J38" s="220">
        <f t="shared" si="7"/>
        <v>0.9180167940891224</v>
      </c>
      <c r="K38" s="198"/>
      <c r="L38" s="198">
        <v>0</v>
      </c>
      <c r="M38" s="184">
        <f t="shared" si="17"/>
        <v>0</v>
      </c>
      <c r="N38" s="258">
        <f t="shared" si="8"/>
      </c>
      <c r="O38" s="183">
        <f t="shared" si="13"/>
        <v>46675.708</v>
      </c>
      <c r="P38" s="196">
        <f t="shared" si="18"/>
        <v>42849.08382</v>
      </c>
      <c r="Q38" s="183">
        <f t="shared" si="15"/>
        <v>-3826.624179999999</v>
      </c>
      <c r="R38" s="220">
        <f t="shared" si="9"/>
        <v>0.9180167940891224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1" customFormat="1" ht="23.25" customHeight="1">
      <c r="A39" s="230">
        <v>22090000</v>
      </c>
      <c r="B39" s="144" t="s">
        <v>29</v>
      </c>
      <c r="C39" s="147">
        <v>4672.3</v>
      </c>
      <c r="D39" s="204">
        <v>937.587</v>
      </c>
      <c r="E39" s="195">
        <v>596.912</v>
      </c>
      <c r="F39" s="204">
        <v>572.31529</v>
      </c>
      <c r="G39" s="196">
        <f t="shared" si="5"/>
        <v>-24.59671000000003</v>
      </c>
      <c r="H39" s="220">
        <f t="shared" si="6"/>
        <v>0.9587934067333208</v>
      </c>
      <c r="I39" s="196">
        <f t="shared" si="16"/>
        <v>-365.27171</v>
      </c>
      <c r="J39" s="220">
        <f t="shared" si="7"/>
        <v>0.6104129963406063</v>
      </c>
      <c r="K39" s="198"/>
      <c r="L39" s="198">
        <v>0</v>
      </c>
      <c r="M39" s="184">
        <f t="shared" si="17"/>
        <v>0</v>
      </c>
      <c r="N39" s="258">
        <f t="shared" si="8"/>
      </c>
      <c r="O39" s="183">
        <f t="shared" si="13"/>
        <v>937.587</v>
      </c>
      <c r="P39" s="196">
        <f t="shared" si="18"/>
        <v>572.31529</v>
      </c>
      <c r="Q39" s="183">
        <f t="shared" si="15"/>
        <v>-365.27171</v>
      </c>
      <c r="R39" s="220">
        <f t="shared" si="9"/>
        <v>0.6104129963406063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" customFormat="1" ht="120" customHeight="1">
      <c r="A40" s="230">
        <v>22130000</v>
      </c>
      <c r="B40" s="144" t="s">
        <v>179</v>
      </c>
      <c r="C40" s="147"/>
      <c r="D40" s="204">
        <v>50.3</v>
      </c>
      <c r="E40" s="210">
        <v>37.15</v>
      </c>
      <c r="F40" s="204">
        <v>47.245419999999996</v>
      </c>
      <c r="G40" s="196">
        <f t="shared" si="5"/>
        <v>10.095419999999997</v>
      </c>
      <c r="H40" s="220">
        <f t="shared" si="6"/>
        <v>1.2717475100942126</v>
      </c>
      <c r="I40" s="196">
        <f t="shared" si="16"/>
        <v>-3.0545800000000014</v>
      </c>
      <c r="J40" s="220">
        <f t="shared" si="7"/>
        <v>0.9392727634194831</v>
      </c>
      <c r="K40" s="198"/>
      <c r="L40" s="198">
        <v>0</v>
      </c>
      <c r="M40" s="184">
        <f t="shared" si="17"/>
        <v>0</v>
      </c>
      <c r="N40" s="258">
        <f t="shared" si="8"/>
      </c>
      <c r="O40" s="183">
        <f t="shared" si="13"/>
        <v>50.3</v>
      </c>
      <c r="P40" s="196">
        <f t="shared" si="18"/>
        <v>47.245419999999996</v>
      </c>
      <c r="Q40" s="183">
        <f t="shared" si="15"/>
        <v>-3.0545800000000014</v>
      </c>
      <c r="R40" s="220">
        <f t="shared" si="9"/>
        <v>0.9392727634194831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" customFormat="1" ht="20.25" customHeight="1">
      <c r="A41" s="229">
        <v>24000000</v>
      </c>
      <c r="B41" s="142" t="s">
        <v>36</v>
      </c>
      <c r="C41" s="146">
        <f>C42+C45</f>
        <v>300.2</v>
      </c>
      <c r="D41" s="181">
        <f>SUM(D42:D43)</f>
        <v>2203.464</v>
      </c>
      <c r="E41" s="181">
        <f>SUM(E42:E43)</f>
        <v>1807.251</v>
      </c>
      <c r="F41" s="181">
        <f>SUM(F42:F43)</f>
        <v>9850.221710000002</v>
      </c>
      <c r="G41" s="181">
        <f t="shared" si="5"/>
        <v>8042.970710000001</v>
      </c>
      <c r="H41" s="219">
        <f t="shared" si="6"/>
        <v>5.450389409108088</v>
      </c>
      <c r="I41" s="181">
        <f t="shared" si="16"/>
        <v>7646.757710000002</v>
      </c>
      <c r="J41" s="219">
        <f t="shared" si="7"/>
        <v>4.47033475926995</v>
      </c>
      <c r="K41" s="180">
        <f>K42+K43+K44</f>
        <v>3353.2383299999997</v>
      </c>
      <c r="L41" s="180">
        <f>L42+L43+L44</f>
        <v>2339.2771000000002</v>
      </c>
      <c r="M41" s="180">
        <f t="shared" si="17"/>
        <v>-1013.9612299999994</v>
      </c>
      <c r="N41" s="222">
        <f t="shared" si="8"/>
        <v>0.6976173089372983</v>
      </c>
      <c r="O41" s="181">
        <f t="shared" si="13"/>
        <v>5556.70233</v>
      </c>
      <c r="P41" s="181">
        <f t="shared" si="18"/>
        <v>12189.498810000001</v>
      </c>
      <c r="Q41" s="181">
        <f t="shared" si="15"/>
        <v>6632.796480000001</v>
      </c>
      <c r="R41" s="219">
        <f t="shared" si="9"/>
        <v>2.1936569724439425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1" customFormat="1" ht="24" customHeight="1">
      <c r="A42" s="230">
        <v>24060000</v>
      </c>
      <c r="B42" s="144" t="s">
        <v>20</v>
      </c>
      <c r="C42" s="145">
        <v>300.2</v>
      </c>
      <c r="D42" s="196">
        <v>2203.464</v>
      </c>
      <c r="E42" s="195">
        <v>1807.251</v>
      </c>
      <c r="F42" s="196">
        <v>9850.221710000002</v>
      </c>
      <c r="G42" s="196">
        <f t="shared" si="5"/>
        <v>8042.970710000001</v>
      </c>
      <c r="H42" s="220">
        <f t="shared" si="6"/>
        <v>5.450389409108088</v>
      </c>
      <c r="I42" s="196">
        <f t="shared" si="16"/>
        <v>7646.757710000002</v>
      </c>
      <c r="J42" s="220">
        <f t="shared" si="7"/>
        <v>4.47033475926995</v>
      </c>
      <c r="K42" s="204">
        <v>331.42533000000003</v>
      </c>
      <c r="L42" s="182">
        <v>1121.79481</v>
      </c>
      <c r="M42" s="182">
        <f t="shared" si="17"/>
        <v>790.3694800000001</v>
      </c>
      <c r="N42" s="258">
        <f t="shared" si="8"/>
        <v>3.3847588233524575</v>
      </c>
      <c r="O42" s="183">
        <f t="shared" si="13"/>
        <v>2534.88933</v>
      </c>
      <c r="P42" s="196">
        <f>L42+F42</f>
        <v>10972.016520000001</v>
      </c>
      <c r="Q42" s="183">
        <f t="shared" si="15"/>
        <v>8437.127190000001</v>
      </c>
      <c r="R42" s="220">
        <f t="shared" si="9"/>
        <v>4.3284006091106155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" customFormat="1" ht="55.5" customHeight="1">
      <c r="A43" s="230">
        <v>24110000</v>
      </c>
      <c r="B43" s="144" t="s">
        <v>60</v>
      </c>
      <c r="C43" s="145"/>
      <c r="D43" s="202">
        <v>0</v>
      </c>
      <c r="E43" s="203">
        <v>0</v>
      </c>
      <c r="F43" s="202">
        <v>0</v>
      </c>
      <c r="G43" s="196">
        <f t="shared" si="5"/>
        <v>0</v>
      </c>
      <c r="H43" s="220">
        <f t="shared" si="6"/>
      </c>
      <c r="I43" s="196"/>
      <c r="J43" s="220">
        <f t="shared" si="7"/>
      </c>
      <c r="K43" s="204">
        <v>21.613</v>
      </c>
      <c r="L43" s="182">
        <v>32.10382</v>
      </c>
      <c r="M43" s="182">
        <f t="shared" si="17"/>
        <v>10.49082</v>
      </c>
      <c r="N43" s="258">
        <f t="shared" si="8"/>
        <v>1.4853939758478694</v>
      </c>
      <c r="O43" s="183">
        <f t="shared" si="13"/>
        <v>21.613</v>
      </c>
      <c r="P43" s="196">
        <f>L43+F43</f>
        <v>32.10382</v>
      </c>
      <c r="Q43" s="183">
        <f t="shared" si="15"/>
        <v>10.49082</v>
      </c>
      <c r="R43" s="220">
        <f t="shared" si="9"/>
        <v>1.4853939758478694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" customFormat="1" ht="59.25" customHeight="1">
      <c r="A44" s="230" t="s">
        <v>68</v>
      </c>
      <c r="B44" s="144" t="s">
        <v>69</v>
      </c>
      <c r="C44" s="145"/>
      <c r="D44" s="202">
        <v>0</v>
      </c>
      <c r="E44" s="203">
        <v>0</v>
      </c>
      <c r="F44" s="202">
        <v>0</v>
      </c>
      <c r="G44" s="196">
        <f t="shared" si="5"/>
        <v>0</v>
      </c>
      <c r="H44" s="220">
        <f t="shared" si="6"/>
      </c>
      <c r="I44" s="196"/>
      <c r="J44" s="220">
        <f t="shared" si="7"/>
      </c>
      <c r="K44" s="204">
        <v>3000.2</v>
      </c>
      <c r="L44" s="182">
        <v>1185.3784699999999</v>
      </c>
      <c r="M44" s="182">
        <f t="shared" si="17"/>
        <v>-1814.82153</v>
      </c>
      <c r="N44" s="258">
        <f t="shared" si="8"/>
        <v>0.39509981667888805</v>
      </c>
      <c r="O44" s="183">
        <f t="shared" si="13"/>
        <v>3000.2</v>
      </c>
      <c r="P44" s="196">
        <f>L44+F44</f>
        <v>1185.3784699999999</v>
      </c>
      <c r="Q44" s="183">
        <f t="shared" si="15"/>
        <v>-1814.82153</v>
      </c>
      <c r="R44" s="220">
        <f t="shared" si="9"/>
        <v>0.39509981667888805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" customFormat="1" ht="22.5" customHeight="1">
      <c r="A45" s="229">
        <v>25000000</v>
      </c>
      <c r="B45" s="142" t="s">
        <v>30</v>
      </c>
      <c r="C45" s="146"/>
      <c r="D45" s="200">
        <v>0</v>
      </c>
      <c r="E45" s="201">
        <v>0</v>
      </c>
      <c r="F45" s="200">
        <v>0</v>
      </c>
      <c r="G45" s="196">
        <f t="shared" si="5"/>
        <v>0</v>
      </c>
      <c r="H45" s="219">
        <f t="shared" si="6"/>
      </c>
      <c r="I45" s="181">
        <f>F45-D45</f>
        <v>0</v>
      </c>
      <c r="J45" s="219">
        <f t="shared" si="7"/>
      </c>
      <c r="K45" s="180">
        <v>360299.79958</v>
      </c>
      <c r="L45" s="180">
        <v>231163.14432</v>
      </c>
      <c r="M45" s="180">
        <f t="shared" si="17"/>
        <v>-129136.65526</v>
      </c>
      <c r="N45" s="222">
        <f t="shared" si="8"/>
        <v>0.6415855478950194</v>
      </c>
      <c r="O45" s="181">
        <f t="shared" si="13"/>
        <v>360299.79958</v>
      </c>
      <c r="P45" s="218">
        <f>L45+F45</f>
        <v>231163.14432</v>
      </c>
      <c r="Q45" s="181">
        <f t="shared" si="15"/>
        <v>-129136.65526</v>
      </c>
      <c r="R45" s="219">
        <f t="shared" si="9"/>
        <v>0.6415855478950194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1" customFormat="1" ht="24.75" customHeight="1">
      <c r="A46" s="229">
        <v>30000000</v>
      </c>
      <c r="B46" s="142" t="s">
        <v>46</v>
      </c>
      <c r="C46" s="150"/>
      <c r="D46" s="181">
        <v>18.38</v>
      </c>
      <c r="E46" s="181">
        <v>14.38</v>
      </c>
      <c r="F46" s="181">
        <v>56.393589999999996</v>
      </c>
      <c r="G46" s="218">
        <f t="shared" si="5"/>
        <v>42.01358999999999</v>
      </c>
      <c r="H46" s="219">
        <f t="shared" si="6"/>
        <v>3.921668289290681</v>
      </c>
      <c r="I46" s="181">
        <f>F46-D46</f>
        <v>38.01358999999999</v>
      </c>
      <c r="J46" s="219">
        <f t="shared" si="7"/>
        <v>3.068204026115343</v>
      </c>
      <c r="K46" s="180">
        <v>159694.171</v>
      </c>
      <c r="L46" s="180">
        <v>92606.95988</v>
      </c>
      <c r="M46" s="180">
        <f t="shared" si="17"/>
        <v>-67087.21112</v>
      </c>
      <c r="N46" s="222">
        <f t="shared" si="8"/>
        <v>0.579901941943767</v>
      </c>
      <c r="O46" s="181">
        <f t="shared" si="13"/>
        <v>159712.551</v>
      </c>
      <c r="P46" s="181">
        <f t="shared" si="18"/>
        <v>92663.35347</v>
      </c>
      <c r="Q46" s="181">
        <f t="shared" si="15"/>
        <v>-67049.19753</v>
      </c>
      <c r="R46" s="219">
        <f t="shared" si="9"/>
        <v>0.5801883001042292</v>
      </c>
      <c r="S46" s="51"/>
      <c r="T46" s="51"/>
      <c r="U46" s="51"/>
      <c r="V46" s="51"/>
      <c r="W46" s="5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09" customFormat="1" ht="41.25" customHeight="1" hidden="1">
      <c r="A47" s="232" t="s">
        <v>167</v>
      </c>
      <c r="B47" s="148" t="s">
        <v>168</v>
      </c>
      <c r="C47" s="151"/>
      <c r="D47" s="206">
        <v>0</v>
      </c>
      <c r="E47" s="211">
        <v>0</v>
      </c>
      <c r="F47" s="206">
        <v>0</v>
      </c>
      <c r="G47" s="181">
        <f>F47-E47</f>
        <v>0</v>
      </c>
      <c r="H47" s="219">
        <f t="shared" si="6"/>
      </c>
      <c r="I47" s="181">
        <f>F47-D47</f>
        <v>0</v>
      </c>
      <c r="J47" s="219">
        <f t="shared" si="7"/>
      </c>
      <c r="K47" s="180"/>
      <c r="L47" s="180"/>
      <c r="M47" s="180">
        <f aca="true" t="shared" si="19" ref="M47:M55">L47-K47</f>
        <v>0</v>
      </c>
      <c r="N47" s="222">
        <f t="shared" si="8"/>
      </c>
      <c r="O47" s="180">
        <f>D47+K47</f>
        <v>0</v>
      </c>
      <c r="P47" s="180">
        <f>L47+F47</f>
        <v>0</v>
      </c>
      <c r="Q47" s="180">
        <f>P47-O47</f>
        <v>0</v>
      </c>
      <c r="R47" s="219">
        <f t="shared" si="9"/>
      </c>
      <c r="S47" s="108"/>
      <c r="T47" s="108"/>
      <c r="U47" s="108"/>
      <c r="V47" s="108"/>
      <c r="W47" s="111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1:33" s="1" customFormat="1" ht="30" customHeight="1">
      <c r="A48" s="229">
        <v>50000000</v>
      </c>
      <c r="B48" s="142" t="s">
        <v>21</v>
      </c>
      <c r="C48" s="146" t="e">
        <f>#REF!+C49</f>
        <v>#REF!</v>
      </c>
      <c r="D48" s="200">
        <f>D49</f>
        <v>0</v>
      </c>
      <c r="E48" s="200">
        <f>E49</f>
        <v>0</v>
      </c>
      <c r="F48" s="200">
        <f>F49</f>
        <v>0</v>
      </c>
      <c r="G48" s="181">
        <f>F48-E48</f>
        <v>0</v>
      </c>
      <c r="H48" s="219">
        <f t="shared" si="6"/>
      </c>
      <c r="I48" s="181">
        <f>F48-D48</f>
        <v>0</v>
      </c>
      <c r="J48" s="219">
        <f t="shared" si="7"/>
      </c>
      <c r="K48" s="180">
        <f>K49</f>
        <v>10437.942</v>
      </c>
      <c r="L48" s="180">
        <f>L49</f>
        <v>10328.03498</v>
      </c>
      <c r="M48" s="180">
        <f t="shared" si="19"/>
        <v>-109.90701999999874</v>
      </c>
      <c r="N48" s="222">
        <f t="shared" si="8"/>
        <v>0.989470432006616</v>
      </c>
      <c r="O48" s="181">
        <f t="shared" si="13"/>
        <v>10437.942</v>
      </c>
      <c r="P48" s="181">
        <f t="shared" si="18"/>
        <v>10328.03498</v>
      </c>
      <c r="Q48" s="181">
        <f t="shared" si="15"/>
        <v>-109.90701999999874</v>
      </c>
      <c r="R48" s="219">
        <f t="shared" si="9"/>
        <v>0.989470432006616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s="1" customFormat="1" ht="81" customHeight="1">
      <c r="A49" s="230">
        <v>50110000</v>
      </c>
      <c r="B49" s="144" t="s">
        <v>162</v>
      </c>
      <c r="C49" s="145"/>
      <c r="D49" s="202">
        <v>0</v>
      </c>
      <c r="E49" s="203">
        <v>0</v>
      </c>
      <c r="F49" s="202">
        <v>0</v>
      </c>
      <c r="G49" s="196">
        <f t="shared" si="5"/>
        <v>0</v>
      </c>
      <c r="H49" s="220">
        <f t="shared" si="6"/>
      </c>
      <c r="I49" s="196"/>
      <c r="J49" s="220">
        <f t="shared" si="7"/>
      </c>
      <c r="K49" s="204">
        <v>10437.942</v>
      </c>
      <c r="L49" s="182">
        <v>10328.03498</v>
      </c>
      <c r="M49" s="184">
        <f t="shared" si="19"/>
        <v>-109.90701999999874</v>
      </c>
      <c r="N49" s="258">
        <f t="shared" si="8"/>
        <v>0.989470432006616</v>
      </c>
      <c r="O49" s="183">
        <f t="shared" si="13"/>
        <v>10437.942</v>
      </c>
      <c r="P49" s="196">
        <f>L49+F49</f>
        <v>10328.03498</v>
      </c>
      <c r="Q49" s="183">
        <f t="shared" si="15"/>
        <v>-109.90701999999874</v>
      </c>
      <c r="R49" s="220">
        <f t="shared" si="9"/>
        <v>0.989470432006616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20.25" customHeight="1">
      <c r="A50" s="8">
        <v>900101</v>
      </c>
      <c r="B50" s="152" t="s">
        <v>22</v>
      </c>
      <c r="C50" s="153" t="e">
        <f>C10+C34+C48+#REF!</f>
        <v>#REF!</v>
      </c>
      <c r="D50" s="212">
        <f>D10+D34+D48+D46</f>
        <v>5056274.07852</v>
      </c>
      <c r="E50" s="212">
        <f>E10+E34+E48+E46</f>
        <v>3723762.99752</v>
      </c>
      <c r="F50" s="212">
        <f>F10+F34+F48+F46</f>
        <v>3978004.8962599994</v>
      </c>
      <c r="G50" s="212">
        <f t="shared" si="5"/>
        <v>254241.89873999916</v>
      </c>
      <c r="H50" s="221">
        <f aca="true" t="shared" si="20" ref="H50:H60">_xlfn.IFERROR(F50/E50,"")</f>
        <v>1.0682755317428425</v>
      </c>
      <c r="I50" s="212">
        <f aca="true" t="shared" si="21" ref="I50:I60">F50-D50</f>
        <v>-1078269.1822600006</v>
      </c>
      <c r="J50" s="221">
        <f aca="true" t="shared" si="22" ref="J50:J60">_xlfn.IFERROR(F50/D50,"")</f>
        <v>0.7867462946993538</v>
      </c>
      <c r="K50" s="212">
        <f>K10+K34+K46+K48+K47</f>
        <v>538286.50491</v>
      </c>
      <c r="L50" s="212">
        <f>L10+L34+L46+L48+L47</f>
        <v>340668.15816</v>
      </c>
      <c r="M50" s="212">
        <f t="shared" si="19"/>
        <v>-197618.34675000003</v>
      </c>
      <c r="N50" s="221">
        <f aca="true" t="shared" si="23" ref="N50:N60">_xlfn.IFERROR(L50/K50,"")</f>
        <v>0.6328751604444528</v>
      </c>
      <c r="O50" s="212">
        <f t="shared" si="13"/>
        <v>5594560.58343</v>
      </c>
      <c r="P50" s="212">
        <f t="shared" si="18"/>
        <v>4318673.054419999</v>
      </c>
      <c r="Q50" s="212">
        <f t="shared" si="15"/>
        <v>-1275887.5290100006</v>
      </c>
      <c r="R50" s="221">
        <f aca="true" t="shared" si="24" ref="R50:R60">_xlfn.IFERROR(P50/O50,"")</f>
        <v>0.771941422390003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18" s="1" customFormat="1" ht="22.5" customHeight="1">
      <c r="A51" s="229">
        <v>40000000</v>
      </c>
      <c r="B51" s="142" t="s">
        <v>31</v>
      </c>
      <c r="C51" s="154">
        <f>C52+C71</f>
        <v>226954.7</v>
      </c>
      <c r="D51" s="180">
        <f>D52</f>
        <v>4029277.276</v>
      </c>
      <c r="E51" s="181">
        <f>E52</f>
        <v>3089151.176</v>
      </c>
      <c r="F51" s="181">
        <f>F52</f>
        <v>3089421.492</v>
      </c>
      <c r="G51" s="181">
        <f t="shared" si="5"/>
        <v>270.31600000010803</v>
      </c>
      <c r="H51" s="257">
        <f t="shared" si="20"/>
        <v>1.0000875049437852</v>
      </c>
      <c r="I51" s="181">
        <f t="shared" si="21"/>
        <v>-939855.784</v>
      </c>
      <c r="J51" s="257">
        <f t="shared" si="22"/>
        <v>0.7667433339477132</v>
      </c>
      <c r="K51" s="180">
        <f>K52</f>
        <v>379697.8</v>
      </c>
      <c r="L51" s="180">
        <f>L52</f>
        <v>43986.8</v>
      </c>
      <c r="M51" s="181">
        <f t="shared" si="19"/>
        <v>-335711</v>
      </c>
      <c r="N51" s="257">
        <f t="shared" si="23"/>
        <v>0.11584686558626361</v>
      </c>
      <c r="O51" s="181">
        <f t="shared" si="13"/>
        <v>4408975.076</v>
      </c>
      <c r="P51" s="181">
        <f t="shared" si="18"/>
        <v>3133408.292</v>
      </c>
      <c r="Q51" s="181">
        <f t="shared" si="15"/>
        <v>-1275566.7840000005</v>
      </c>
      <c r="R51" s="257">
        <f t="shared" si="24"/>
        <v>0.71068859269732</v>
      </c>
    </row>
    <row r="52" spans="1:18" s="1" customFormat="1" ht="23.25" customHeight="1">
      <c r="A52" s="229">
        <v>41000000</v>
      </c>
      <c r="B52" s="142" t="s">
        <v>32</v>
      </c>
      <c r="C52" s="154">
        <f>C53+C58</f>
        <v>226954.7</v>
      </c>
      <c r="D52" s="181">
        <f>D53+D58</f>
        <v>4029277.276</v>
      </c>
      <c r="E52" s="181">
        <f>E53+E58</f>
        <v>3089151.176</v>
      </c>
      <c r="F52" s="181">
        <f>F53+F58</f>
        <v>3089421.492</v>
      </c>
      <c r="G52" s="181">
        <f t="shared" si="5"/>
        <v>270.31600000010803</v>
      </c>
      <c r="H52" s="257">
        <f t="shared" si="20"/>
        <v>1.0000875049437852</v>
      </c>
      <c r="I52" s="181">
        <f t="shared" si="21"/>
        <v>-939855.784</v>
      </c>
      <c r="J52" s="257">
        <f t="shared" si="22"/>
        <v>0.7667433339477132</v>
      </c>
      <c r="K52" s="180">
        <f>K53+K58</f>
        <v>379697.8</v>
      </c>
      <c r="L52" s="180">
        <f>L53+L58</f>
        <v>43986.8</v>
      </c>
      <c r="M52" s="181">
        <f t="shared" si="19"/>
        <v>-335711</v>
      </c>
      <c r="N52" s="257">
        <f t="shared" si="23"/>
        <v>0.11584686558626361</v>
      </c>
      <c r="O52" s="181">
        <f t="shared" si="13"/>
        <v>4408975.076</v>
      </c>
      <c r="P52" s="181">
        <f t="shared" si="18"/>
        <v>3133408.292</v>
      </c>
      <c r="Q52" s="181">
        <f t="shared" si="15"/>
        <v>-1275566.7840000005</v>
      </c>
      <c r="R52" s="257">
        <f t="shared" si="24"/>
        <v>0.71068859269732</v>
      </c>
    </row>
    <row r="53" spans="1:18" s="116" customFormat="1" ht="23.25" customHeight="1">
      <c r="A53" s="229">
        <v>41020000</v>
      </c>
      <c r="B53" s="171" t="s">
        <v>44</v>
      </c>
      <c r="C53" s="155">
        <f>SUM(C54:C54)</f>
        <v>226954.7</v>
      </c>
      <c r="D53" s="213">
        <f>D54+D55+D56+D57</f>
        <v>1295856.176</v>
      </c>
      <c r="E53" s="213">
        <f>E54+E55+E56+E57</f>
        <v>985479.4759999999</v>
      </c>
      <c r="F53" s="213">
        <f>F54+F55+F56+F57</f>
        <v>985749.7919999999</v>
      </c>
      <c r="G53" s="181">
        <f t="shared" si="5"/>
        <v>270.3159999999916</v>
      </c>
      <c r="H53" s="257">
        <f t="shared" si="20"/>
        <v>1.0002742989647</v>
      </c>
      <c r="I53" s="213">
        <f t="shared" si="21"/>
        <v>-310106.3840000001</v>
      </c>
      <c r="J53" s="257">
        <f t="shared" si="22"/>
        <v>0.7606938256394897</v>
      </c>
      <c r="K53" s="214">
        <f>K54+K55+K56+K57</f>
        <v>0</v>
      </c>
      <c r="L53" s="214">
        <f>L54+L55+L56+L57</f>
        <v>0</v>
      </c>
      <c r="M53" s="181">
        <f t="shared" si="19"/>
        <v>0</v>
      </c>
      <c r="N53" s="257">
        <f t="shared" si="23"/>
      </c>
      <c r="O53" s="193">
        <f t="shared" si="13"/>
        <v>1295856.176</v>
      </c>
      <c r="P53" s="213">
        <f t="shared" si="18"/>
        <v>985749.7919999999</v>
      </c>
      <c r="Q53" s="193">
        <f t="shared" si="15"/>
        <v>-310106.3840000001</v>
      </c>
      <c r="R53" s="257">
        <f t="shared" si="24"/>
        <v>0.7606938256394897</v>
      </c>
    </row>
    <row r="54" spans="1:18" s="1" customFormat="1" ht="29.25" customHeight="1">
      <c r="A54" s="230">
        <v>41020100</v>
      </c>
      <c r="B54" s="144" t="s">
        <v>82</v>
      </c>
      <c r="C54" s="156">
        <v>226954.7</v>
      </c>
      <c r="D54" s="196">
        <v>1128304.7</v>
      </c>
      <c r="E54" s="196">
        <v>846232.2</v>
      </c>
      <c r="F54" s="196">
        <v>846232.2</v>
      </c>
      <c r="G54" s="181">
        <f t="shared" si="5"/>
        <v>0</v>
      </c>
      <c r="H54" s="258">
        <f t="shared" si="20"/>
        <v>1</v>
      </c>
      <c r="I54" s="196">
        <f t="shared" si="21"/>
        <v>-282072.5</v>
      </c>
      <c r="J54" s="258">
        <f t="shared" si="22"/>
        <v>0.7500032570989025</v>
      </c>
      <c r="K54" s="198">
        <v>0</v>
      </c>
      <c r="L54" s="198">
        <v>0</v>
      </c>
      <c r="M54" s="181">
        <f t="shared" si="19"/>
        <v>0</v>
      </c>
      <c r="N54" s="258">
        <f t="shared" si="23"/>
      </c>
      <c r="O54" s="183">
        <f t="shared" si="13"/>
        <v>1128304.7</v>
      </c>
      <c r="P54" s="196">
        <f t="shared" si="18"/>
        <v>846232.2</v>
      </c>
      <c r="Q54" s="183">
        <f t="shared" si="15"/>
        <v>-282072.5</v>
      </c>
      <c r="R54" s="258">
        <f t="shared" si="24"/>
        <v>0.7500032570989025</v>
      </c>
    </row>
    <row r="55" spans="1:18" s="1" customFormat="1" ht="84" customHeight="1">
      <c r="A55" s="230">
        <v>41020200</v>
      </c>
      <c r="B55" s="144" t="s">
        <v>135</v>
      </c>
      <c r="C55" s="156"/>
      <c r="D55" s="196">
        <v>113217.4</v>
      </c>
      <c r="E55" s="196">
        <v>84913.2</v>
      </c>
      <c r="F55" s="196">
        <v>84913.2</v>
      </c>
      <c r="G55" s="181">
        <f t="shared" si="5"/>
        <v>0</v>
      </c>
      <c r="H55" s="258">
        <f t="shared" si="20"/>
        <v>1</v>
      </c>
      <c r="I55" s="196">
        <f t="shared" si="21"/>
        <v>-28304.199999999997</v>
      </c>
      <c r="J55" s="258">
        <f t="shared" si="22"/>
        <v>0.7500013248846908</v>
      </c>
      <c r="K55" s="198">
        <v>0</v>
      </c>
      <c r="L55" s="198">
        <v>0</v>
      </c>
      <c r="M55" s="181">
        <f t="shared" si="19"/>
        <v>0</v>
      </c>
      <c r="N55" s="258">
        <f t="shared" si="23"/>
      </c>
      <c r="O55" s="183">
        <f t="shared" si="13"/>
        <v>113217.4</v>
      </c>
      <c r="P55" s="196">
        <f>L55+F55</f>
        <v>84913.2</v>
      </c>
      <c r="Q55" s="183">
        <f aca="true" t="shared" si="25" ref="Q55:Q60">P55-O55</f>
        <v>-28304.199999999997</v>
      </c>
      <c r="R55" s="258">
        <f t="shared" si="24"/>
        <v>0.7500013248846908</v>
      </c>
    </row>
    <row r="56" spans="1:18" s="1" customFormat="1" ht="152.25" customHeight="1">
      <c r="A56" s="230">
        <v>410211100</v>
      </c>
      <c r="B56" s="144" t="s">
        <v>204</v>
      </c>
      <c r="C56" s="156"/>
      <c r="D56" s="196">
        <v>38602.6</v>
      </c>
      <c r="E56" s="196">
        <v>38602.6</v>
      </c>
      <c r="F56" s="196">
        <v>38602.6</v>
      </c>
      <c r="G56" s="181">
        <f>F56-E56</f>
        <v>0</v>
      </c>
      <c r="H56" s="258">
        <f>_xlfn.IFERROR(F56/E56,"")</f>
        <v>1</v>
      </c>
      <c r="I56" s="196">
        <f>F56-D56</f>
        <v>0</v>
      </c>
      <c r="J56" s="258">
        <f>_xlfn.IFERROR(F56/D56,"")</f>
        <v>1</v>
      </c>
      <c r="K56" s="198">
        <v>0</v>
      </c>
      <c r="L56" s="198">
        <v>0</v>
      </c>
      <c r="M56" s="181">
        <f>L56-K56</f>
        <v>0</v>
      </c>
      <c r="N56" s="258">
        <f>_xlfn.IFERROR(L56/K56,"")</f>
      </c>
      <c r="O56" s="183">
        <f>D56+K56</f>
        <v>38602.6</v>
      </c>
      <c r="P56" s="196">
        <f>L56+F56</f>
        <v>38602.6</v>
      </c>
      <c r="Q56" s="183">
        <f t="shared" si="25"/>
        <v>0</v>
      </c>
      <c r="R56" s="258">
        <f>_xlfn.IFERROR(P56/O56,"")</f>
        <v>1</v>
      </c>
    </row>
    <row r="57" spans="1:18" s="1" customFormat="1" ht="144" customHeight="1">
      <c r="A57" s="230">
        <v>41021300</v>
      </c>
      <c r="B57" s="144" t="s">
        <v>208</v>
      </c>
      <c r="C57" s="156"/>
      <c r="D57" s="196">
        <v>15731.476</v>
      </c>
      <c r="E57" s="196">
        <v>15731.476</v>
      </c>
      <c r="F57" s="196">
        <v>16001.792</v>
      </c>
      <c r="G57" s="267">
        <f>F57-E57</f>
        <v>270.3159999999989</v>
      </c>
      <c r="H57" s="258">
        <f>_xlfn.IFERROR(F57/E57,"")</f>
        <v>1.0171831301779948</v>
      </c>
      <c r="I57" s="196">
        <f>F57-D57</f>
        <v>270.3159999999989</v>
      </c>
      <c r="J57" s="258">
        <f>_xlfn.IFERROR(F57/D57,"")</f>
        <v>1.0171831301779948</v>
      </c>
      <c r="K57" s="198"/>
      <c r="L57" s="198"/>
      <c r="M57" s="181">
        <f>L57-K57</f>
        <v>0</v>
      </c>
      <c r="N57" s="258">
        <f>_xlfn.IFERROR(L57/K57,"")</f>
      </c>
      <c r="O57" s="183">
        <f>D57+K57</f>
        <v>15731.476</v>
      </c>
      <c r="P57" s="196">
        <f>L57+F57</f>
        <v>16001.792</v>
      </c>
      <c r="Q57" s="183">
        <f t="shared" si="25"/>
        <v>270.3159999999989</v>
      </c>
      <c r="R57" s="258">
        <f>_xlfn.IFERROR(P57/O57,"")</f>
        <v>1.0171831301779948</v>
      </c>
    </row>
    <row r="58" spans="1:18" s="1" customFormat="1" ht="23.25" customHeight="1">
      <c r="A58" s="229">
        <v>41030000</v>
      </c>
      <c r="B58" s="157" t="s">
        <v>45</v>
      </c>
      <c r="C58" s="146">
        <f>C65</f>
        <v>0</v>
      </c>
      <c r="D58" s="181">
        <f>SUM(D59:D65)</f>
        <v>2733421.1</v>
      </c>
      <c r="E58" s="181">
        <f>SUM(E59:E65)</f>
        <v>2103671.7</v>
      </c>
      <c r="F58" s="181">
        <f>SUM(F59:F65)</f>
        <v>2103671.7</v>
      </c>
      <c r="G58" s="181">
        <f>F58-E58</f>
        <v>0</v>
      </c>
      <c r="H58" s="257">
        <f t="shared" si="20"/>
        <v>1</v>
      </c>
      <c r="I58" s="181">
        <f t="shared" si="21"/>
        <v>-629749.3999999999</v>
      </c>
      <c r="J58" s="257">
        <f t="shared" si="22"/>
        <v>0.769611275774523</v>
      </c>
      <c r="K58" s="180">
        <f>SUM(K59:K65)</f>
        <v>379697.8</v>
      </c>
      <c r="L58" s="180">
        <f>SUM(L59:L65)</f>
        <v>43986.8</v>
      </c>
      <c r="M58" s="180">
        <f>SUM(M59:M65)</f>
        <v>-335711</v>
      </c>
      <c r="N58" s="257">
        <f t="shared" si="23"/>
        <v>0.11584686558626361</v>
      </c>
      <c r="O58" s="181">
        <f t="shared" si="13"/>
        <v>3113118.9</v>
      </c>
      <c r="P58" s="181">
        <f t="shared" si="18"/>
        <v>2147658.5</v>
      </c>
      <c r="Q58" s="181">
        <f t="shared" si="25"/>
        <v>-965460.3999999999</v>
      </c>
      <c r="R58" s="257">
        <f t="shared" si="24"/>
        <v>0.6898735862610323</v>
      </c>
    </row>
    <row r="59" spans="1:18" s="1" customFormat="1" ht="107.25" customHeight="1" hidden="1">
      <c r="A59" s="230">
        <v>41030400</v>
      </c>
      <c r="B59" s="236" t="s">
        <v>195</v>
      </c>
      <c r="C59" s="146"/>
      <c r="D59" s="183"/>
      <c r="E59" s="183"/>
      <c r="F59" s="183"/>
      <c r="G59" s="183">
        <f>F59-E59</f>
        <v>0</v>
      </c>
      <c r="H59" s="257">
        <f t="shared" si="20"/>
      </c>
      <c r="I59" s="183">
        <f t="shared" si="21"/>
        <v>0</v>
      </c>
      <c r="J59" s="257">
        <f t="shared" si="22"/>
      </c>
      <c r="K59" s="182"/>
      <c r="L59" s="182"/>
      <c r="M59" s="183">
        <f>L59-K59</f>
        <v>0</v>
      </c>
      <c r="N59" s="257">
        <f t="shared" si="23"/>
      </c>
      <c r="O59" s="183">
        <f>D59+K59</f>
        <v>0</v>
      </c>
      <c r="P59" s="183">
        <f>L59+F59</f>
        <v>0</v>
      </c>
      <c r="Q59" s="183">
        <f t="shared" si="25"/>
        <v>0</v>
      </c>
      <c r="R59" s="257">
        <f t="shared" si="24"/>
      </c>
    </row>
    <row r="60" spans="1:18" s="1" customFormat="1" ht="409.5" customHeight="1" hidden="1">
      <c r="A60" s="230">
        <v>41030500</v>
      </c>
      <c r="B60" s="216" t="s">
        <v>194</v>
      </c>
      <c r="C60" s="146"/>
      <c r="D60" s="183"/>
      <c r="E60" s="183"/>
      <c r="F60" s="183"/>
      <c r="G60" s="183">
        <f>F60-E60</f>
        <v>0</v>
      </c>
      <c r="H60" s="258">
        <f t="shared" si="20"/>
      </c>
      <c r="I60" s="183">
        <f t="shared" si="21"/>
        <v>0</v>
      </c>
      <c r="J60" s="258">
        <f t="shared" si="22"/>
      </c>
      <c r="K60" s="182"/>
      <c r="L60" s="182"/>
      <c r="M60" s="183">
        <f>L60-K60</f>
        <v>0</v>
      </c>
      <c r="N60" s="257">
        <f t="shared" si="23"/>
      </c>
      <c r="O60" s="183">
        <f>D60+K60</f>
        <v>0</v>
      </c>
      <c r="P60" s="183">
        <f>L60+F60</f>
        <v>0</v>
      </c>
      <c r="Q60" s="183">
        <f t="shared" si="25"/>
        <v>0</v>
      </c>
      <c r="R60" s="258">
        <f t="shared" si="24"/>
      </c>
    </row>
    <row r="61" spans="1:18" s="1" customFormat="1" ht="82.5" customHeight="1">
      <c r="A61" s="230">
        <v>41030600</v>
      </c>
      <c r="B61" s="216" t="s">
        <v>205</v>
      </c>
      <c r="C61" s="146"/>
      <c r="D61" s="183">
        <v>3504.3</v>
      </c>
      <c r="E61" s="183">
        <v>2661.6</v>
      </c>
      <c r="F61" s="183">
        <v>2661.6</v>
      </c>
      <c r="G61" s="183"/>
      <c r="H61" s="258">
        <f>_xlfn.IFERROR(F61/E61,"")</f>
        <v>1</v>
      </c>
      <c r="I61" s="183">
        <f>F61-D61</f>
        <v>-842.7000000000003</v>
      </c>
      <c r="J61" s="258">
        <f aca="true" t="shared" si="26" ref="J61:J66">_xlfn.IFERROR(F61/D61,"")</f>
        <v>0.759524013355021</v>
      </c>
      <c r="K61" s="182"/>
      <c r="L61" s="182"/>
      <c r="M61" s="183"/>
      <c r="N61" s="257"/>
      <c r="O61" s="183"/>
      <c r="P61" s="183"/>
      <c r="Q61" s="183"/>
      <c r="R61" s="258"/>
    </row>
    <row r="62" spans="1:18" s="1" customFormat="1" ht="61.5" customHeight="1">
      <c r="A62" s="230">
        <v>41033000</v>
      </c>
      <c r="B62" s="216" t="s">
        <v>209</v>
      </c>
      <c r="C62" s="146"/>
      <c r="D62" s="183">
        <v>69702.4</v>
      </c>
      <c r="E62" s="183">
        <v>51912.3</v>
      </c>
      <c r="F62" s="183">
        <v>51912.3</v>
      </c>
      <c r="G62" s="183">
        <f>F62-E62</f>
        <v>0</v>
      </c>
      <c r="H62" s="258">
        <f>_xlfn.IFERROR(F62/E62,"")</f>
        <v>1</v>
      </c>
      <c r="I62" s="183">
        <f>F62-D62</f>
        <v>-17790.09999999999</v>
      </c>
      <c r="J62" s="258">
        <f t="shared" si="26"/>
        <v>0.7447706248278396</v>
      </c>
      <c r="K62" s="182"/>
      <c r="L62" s="182"/>
      <c r="M62" s="183">
        <f>L62-K62</f>
        <v>0</v>
      </c>
      <c r="N62" s="258">
        <f>_xlfn.IFERROR(L62/K62,"")</f>
      </c>
      <c r="O62" s="183">
        <f>D62+K62</f>
        <v>69702.4</v>
      </c>
      <c r="P62" s="183">
        <f>L62+F62</f>
        <v>51912.3</v>
      </c>
      <c r="Q62" s="183">
        <f>P62-O62</f>
        <v>-17790.09999999999</v>
      </c>
      <c r="R62" s="258">
        <f>_xlfn.IFERROR(P62/O62,"")</f>
        <v>0.7447706248278396</v>
      </c>
    </row>
    <row r="63" spans="1:18" s="1" customFormat="1" ht="44.25" customHeight="1">
      <c r="A63" s="230" t="s">
        <v>180</v>
      </c>
      <c r="B63" s="216" t="s">
        <v>183</v>
      </c>
      <c r="C63" s="146"/>
      <c r="D63" s="183">
        <v>2644591.8</v>
      </c>
      <c r="E63" s="183">
        <v>2038460.8</v>
      </c>
      <c r="F63" s="183">
        <v>2038460.8</v>
      </c>
      <c r="G63" s="183">
        <f>F63-E63</f>
        <v>0</v>
      </c>
      <c r="H63" s="258">
        <f>_xlfn.IFERROR(F63/E63,"")</f>
        <v>1</v>
      </c>
      <c r="I63" s="183">
        <f>F63-D63</f>
        <v>-606130.9999999998</v>
      </c>
      <c r="J63" s="258">
        <f t="shared" si="26"/>
        <v>0.7708035697607473</v>
      </c>
      <c r="K63" s="182"/>
      <c r="L63" s="182"/>
      <c r="M63" s="183">
        <f>L63-K63</f>
        <v>0</v>
      </c>
      <c r="N63" s="257">
        <f>_xlfn.IFERROR(L63/K63,"")</f>
      </c>
      <c r="O63" s="183">
        <f>D63+K63</f>
        <v>2644591.8</v>
      </c>
      <c r="P63" s="183">
        <f>L63+F63</f>
        <v>2038460.8</v>
      </c>
      <c r="Q63" s="183">
        <f>P63-O63</f>
        <v>-606130.9999999998</v>
      </c>
      <c r="R63" s="258">
        <f>_xlfn.IFERROR(P63/O63,"")</f>
        <v>0.7708035697607473</v>
      </c>
    </row>
    <row r="64" spans="1:18" s="1" customFormat="1" ht="72" customHeight="1">
      <c r="A64" s="230" t="s">
        <v>181</v>
      </c>
      <c r="B64" s="216" t="s">
        <v>185</v>
      </c>
      <c r="C64" s="146"/>
      <c r="D64" s="183">
        <v>15622.6</v>
      </c>
      <c r="E64" s="183">
        <v>10637</v>
      </c>
      <c r="F64" s="183">
        <v>10637</v>
      </c>
      <c r="G64" s="183">
        <f>F64-E64</f>
        <v>0</v>
      </c>
      <c r="H64" s="258">
        <f>_xlfn.IFERROR(F64/E64,"")</f>
        <v>1</v>
      </c>
      <c r="I64" s="183">
        <f>F64-D64</f>
        <v>-4985.6</v>
      </c>
      <c r="J64" s="258">
        <f t="shared" si="26"/>
        <v>0.6808725820285996</v>
      </c>
      <c r="K64" s="182"/>
      <c r="L64" s="182"/>
      <c r="M64" s="183">
        <f>L64-K64</f>
        <v>0</v>
      </c>
      <c r="N64" s="257">
        <f>_xlfn.IFERROR(L64/K64,"")</f>
      </c>
      <c r="O64" s="183">
        <f>D64+K64</f>
        <v>15622.6</v>
      </c>
      <c r="P64" s="183">
        <f>L64+F64</f>
        <v>10637</v>
      </c>
      <c r="Q64" s="183">
        <f>P64-O64</f>
        <v>-4985.6</v>
      </c>
      <c r="R64" s="258">
        <f>_xlfn.IFERROR(P64/O64,"")</f>
        <v>0.6808725820285996</v>
      </c>
    </row>
    <row r="65" spans="1:18" s="1" customFormat="1" ht="133.5" customHeight="1">
      <c r="A65" s="230" t="s">
        <v>182</v>
      </c>
      <c r="B65" s="216" t="s">
        <v>184</v>
      </c>
      <c r="C65" s="145"/>
      <c r="D65" s="196">
        <v>0</v>
      </c>
      <c r="E65" s="196">
        <v>0</v>
      </c>
      <c r="F65" s="196">
        <v>0</v>
      </c>
      <c r="G65" s="183">
        <f>F65-E65</f>
        <v>0</v>
      </c>
      <c r="H65" s="258">
        <f>_xlfn.IFERROR(F65/E65,"")</f>
      </c>
      <c r="I65" s="183">
        <f>F65-D65</f>
        <v>0</v>
      </c>
      <c r="J65" s="258">
        <f t="shared" si="26"/>
      </c>
      <c r="K65" s="204">
        <v>379697.8</v>
      </c>
      <c r="L65" s="196">
        <v>43986.8</v>
      </c>
      <c r="M65" s="183">
        <f>L65-K65</f>
        <v>-335711</v>
      </c>
      <c r="N65" s="258">
        <f>_xlfn.IFERROR(L65/K65,"")</f>
        <v>0.11584686558626361</v>
      </c>
      <c r="O65" s="183">
        <f>D65+K65</f>
        <v>379697.8</v>
      </c>
      <c r="P65" s="183">
        <f>L65+F65</f>
        <v>43986.8</v>
      </c>
      <c r="Q65" s="183">
        <f>P65-O65</f>
        <v>-335711</v>
      </c>
      <c r="R65" s="258">
        <f>_xlfn.IFERROR(P65/O65,"")</f>
        <v>0.11584686558626361</v>
      </c>
    </row>
    <row r="66" spans="1:33" ht="20.25">
      <c r="A66" s="110">
        <v>900102</v>
      </c>
      <c r="B66" s="158" t="s">
        <v>23</v>
      </c>
      <c r="C66" s="158"/>
      <c r="D66" s="212">
        <f>D50+D51</f>
        <v>9085551.35452</v>
      </c>
      <c r="E66" s="212">
        <f>E50+E51</f>
        <v>6812914.173520001</v>
      </c>
      <c r="F66" s="212">
        <f>F51+F50</f>
        <v>7067426.388259999</v>
      </c>
      <c r="G66" s="212">
        <f t="shared" si="5"/>
        <v>254512.2147399988</v>
      </c>
      <c r="H66" s="221">
        <f aca="true" t="shared" si="27" ref="H66:H73">_xlfn.IFERROR(F66/E66,"")</f>
        <v>1.0373573199746478</v>
      </c>
      <c r="I66" s="212">
        <f aca="true" t="shared" si="28" ref="I66:I73">F66-D66</f>
        <v>-2018124.966260001</v>
      </c>
      <c r="J66" s="221">
        <f t="shared" si="26"/>
        <v>0.7778753443228299</v>
      </c>
      <c r="K66" s="212">
        <f>K51+K50</f>
        <v>917984.30491</v>
      </c>
      <c r="L66" s="212">
        <f>L51+L50</f>
        <v>384654.95816</v>
      </c>
      <c r="M66" s="212">
        <f>L66-K66</f>
        <v>-533329.34675</v>
      </c>
      <c r="N66" s="221">
        <f>_xlfn.IFERROR(L66/K66,"")</f>
        <v>0.41902127966960384</v>
      </c>
      <c r="O66" s="212">
        <f>O51+O50</f>
        <v>10003535.65943</v>
      </c>
      <c r="P66" s="212">
        <f>P51+P50</f>
        <v>7452081.346419999</v>
      </c>
      <c r="Q66" s="212">
        <f aca="true" t="shared" si="29" ref="Q66:Q72">P66-O66</f>
        <v>-2551454.3130100016</v>
      </c>
      <c r="R66" s="221">
        <f>_xlfn.IFERROR(P66/O66,"")</f>
        <v>0.7449447475498495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18" s="1" customFormat="1" ht="47.25" hidden="1">
      <c r="A67" s="13" t="s">
        <v>76</v>
      </c>
      <c r="B67" s="17" t="s">
        <v>73</v>
      </c>
      <c r="C67" s="45"/>
      <c r="D67" s="124"/>
      <c r="E67" s="124"/>
      <c r="F67" s="124"/>
      <c r="G67" s="125"/>
      <c r="H67" s="221">
        <f t="shared" si="27"/>
      </c>
      <c r="I67" s="125">
        <f t="shared" si="28"/>
        <v>0</v>
      </c>
      <c r="J67" s="125" t="e">
        <f aca="true" t="shared" si="30" ref="J67:J73">F67/D67*100</f>
        <v>#DIV/0!</v>
      </c>
      <c r="K67" s="126">
        <v>0</v>
      </c>
      <c r="L67" s="126">
        <v>0</v>
      </c>
      <c r="M67" s="127"/>
      <c r="N67" s="127"/>
      <c r="O67" s="128">
        <f aca="true" t="shared" si="31" ref="O67:O73">D67+K67</f>
        <v>0</v>
      </c>
      <c r="P67" s="128">
        <f aca="true" t="shared" si="32" ref="P67:P73">L67+F67</f>
        <v>0</v>
      </c>
      <c r="Q67" s="128">
        <f t="shared" si="29"/>
        <v>0</v>
      </c>
      <c r="R67" s="128" t="e">
        <f aca="true" t="shared" si="33" ref="R67:R73">P67/O67*100</f>
        <v>#DIV/0!</v>
      </c>
    </row>
    <row r="68" spans="1:18" s="1" customFormat="1" ht="31.5" hidden="1">
      <c r="A68" s="13" t="s">
        <v>77</v>
      </c>
      <c r="B68" s="17" t="s">
        <v>74</v>
      </c>
      <c r="C68" s="45"/>
      <c r="D68" s="124"/>
      <c r="E68" s="124"/>
      <c r="F68" s="124"/>
      <c r="G68" s="125"/>
      <c r="H68" s="221">
        <f t="shared" si="27"/>
      </c>
      <c r="I68" s="125">
        <f t="shared" si="28"/>
        <v>0</v>
      </c>
      <c r="J68" s="125" t="e">
        <f t="shared" si="30"/>
        <v>#DIV/0!</v>
      </c>
      <c r="K68" s="126">
        <v>0</v>
      </c>
      <c r="L68" s="126">
        <v>0</v>
      </c>
      <c r="M68" s="127"/>
      <c r="N68" s="127"/>
      <c r="O68" s="128">
        <f t="shared" si="31"/>
        <v>0</v>
      </c>
      <c r="P68" s="128">
        <f t="shared" si="32"/>
        <v>0</v>
      </c>
      <c r="Q68" s="128">
        <f t="shared" si="29"/>
        <v>0</v>
      </c>
      <c r="R68" s="128" t="e">
        <f t="shared" si="33"/>
        <v>#DIV/0!</v>
      </c>
    </row>
    <row r="69" spans="1:18" s="1" customFormat="1" ht="47.25" hidden="1">
      <c r="A69" s="13" t="s">
        <v>71</v>
      </c>
      <c r="B69" s="17" t="s">
        <v>78</v>
      </c>
      <c r="C69" s="45"/>
      <c r="D69" s="124"/>
      <c r="E69" s="124"/>
      <c r="F69" s="124"/>
      <c r="G69" s="125"/>
      <c r="H69" s="221">
        <f t="shared" si="27"/>
      </c>
      <c r="I69" s="125">
        <f t="shared" si="28"/>
        <v>0</v>
      </c>
      <c r="J69" s="125" t="e">
        <f t="shared" si="30"/>
        <v>#DIV/0!</v>
      </c>
      <c r="K69" s="129"/>
      <c r="L69" s="129">
        <v>0</v>
      </c>
      <c r="M69" s="125">
        <f>L69-K69</f>
        <v>0</v>
      </c>
      <c r="N69" s="127" t="e">
        <f>L69/K69*100</f>
        <v>#DIV/0!</v>
      </c>
      <c r="O69" s="128">
        <f t="shared" si="31"/>
        <v>0</v>
      </c>
      <c r="P69" s="128">
        <f t="shared" si="32"/>
        <v>0</v>
      </c>
      <c r="Q69" s="128">
        <f t="shared" si="29"/>
        <v>0</v>
      </c>
      <c r="R69" s="128" t="e">
        <f t="shared" si="33"/>
        <v>#DIV/0!</v>
      </c>
    </row>
    <row r="70" spans="1:18" s="1" customFormat="1" ht="20.25" hidden="1">
      <c r="A70" s="13" t="s">
        <v>72</v>
      </c>
      <c r="B70" s="17" t="s">
        <v>75</v>
      </c>
      <c r="C70" s="45"/>
      <c r="D70" s="124"/>
      <c r="E70" s="124"/>
      <c r="F70" s="124"/>
      <c r="G70" s="125"/>
      <c r="H70" s="221">
        <f t="shared" si="27"/>
      </c>
      <c r="I70" s="125">
        <f t="shared" si="28"/>
        <v>0</v>
      </c>
      <c r="J70" s="125" t="e">
        <f t="shared" si="30"/>
        <v>#DIV/0!</v>
      </c>
      <c r="K70" s="129">
        <v>14155.1</v>
      </c>
      <c r="L70" s="129">
        <v>14356.1</v>
      </c>
      <c r="M70" s="125">
        <f>L70-K70</f>
        <v>201</v>
      </c>
      <c r="N70" s="125">
        <f>L70/K70*100</f>
        <v>101.41998290368844</v>
      </c>
      <c r="O70" s="128">
        <f t="shared" si="31"/>
        <v>14155.1</v>
      </c>
      <c r="P70" s="128">
        <f t="shared" si="32"/>
        <v>14356.1</v>
      </c>
      <c r="Q70" s="128">
        <f t="shared" si="29"/>
        <v>201</v>
      </c>
      <c r="R70" s="128">
        <f t="shared" si="33"/>
        <v>101.41998290368844</v>
      </c>
    </row>
    <row r="71" spans="1:33" ht="31.5" hidden="1">
      <c r="A71" s="4">
        <v>43000000</v>
      </c>
      <c r="B71" s="6" t="s">
        <v>58</v>
      </c>
      <c r="C71" s="7">
        <f>C72</f>
        <v>0</v>
      </c>
      <c r="D71" s="130"/>
      <c r="E71" s="130"/>
      <c r="F71" s="130">
        <f>F72</f>
        <v>0</v>
      </c>
      <c r="G71" s="131"/>
      <c r="H71" s="221">
        <f t="shared" si="27"/>
      </c>
      <c r="I71" s="131">
        <f t="shared" si="28"/>
        <v>0</v>
      </c>
      <c r="J71" s="131" t="e">
        <f t="shared" si="30"/>
        <v>#DIV/0!</v>
      </c>
      <c r="K71" s="132">
        <f>K72</f>
        <v>0</v>
      </c>
      <c r="L71" s="132">
        <f>L72</f>
        <v>0</v>
      </c>
      <c r="M71" s="131">
        <f>L71-K71</f>
        <v>0</v>
      </c>
      <c r="N71" s="131" t="e">
        <f>L71/K71*100</f>
        <v>#DIV/0!</v>
      </c>
      <c r="O71" s="133">
        <f t="shared" si="31"/>
        <v>0</v>
      </c>
      <c r="P71" s="133">
        <f t="shared" si="32"/>
        <v>0</v>
      </c>
      <c r="Q71" s="133">
        <f t="shared" si="29"/>
        <v>0</v>
      </c>
      <c r="R71" s="133" t="e">
        <f t="shared" si="33"/>
        <v>#DIV/0!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20.25" hidden="1">
      <c r="A72" s="13">
        <v>43010000</v>
      </c>
      <c r="B72" s="17" t="s">
        <v>33</v>
      </c>
      <c r="C72" s="14"/>
      <c r="D72" s="134"/>
      <c r="E72" s="134"/>
      <c r="F72" s="134"/>
      <c r="G72" s="135"/>
      <c r="H72" s="221">
        <f t="shared" si="27"/>
      </c>
      <c r="I72" s="135">
        <f t="shared" si="28"/>
        <v>0</v>
      </c>
      <c r="J72" s="135" t="e">
        <f t="shared" si="30"/>
        <v>#DIV/0!</v>
      </c>
      <c r="K72" s="136"/>
      <c r="L72" s="136"/>
      <c r="M72" s="128">
        <f>L72-K72</f>
        <v>0</v>
      </c>
      <c r="N72" s="125" t="e">
        <f>L72/K72*100</f>
        <v>#DIV/0!</v>
      </c>
      <c r="O72" s="133">
        <f t="shared" si="31"/>
        <v>0</v>
      </c>
      <c r="P72" s="133">
        <f t="shared" si="32"/>
        <v>0</v>
      </c>
      <c r="Q72" s="133">
        <f t="shared" si="29"/>
        <v>0</v>
      </c>
      <c r="R72" s="133" t="e">
        <f t="shared" si="33"/>
        <v>#DIV/0!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20.25" hidden="1">
      <c r="A73" s="8">
        <v>900103</v>
      </c>
      <c r="B73" s="9" t="s">
        <v>79</v>
      </c>
      <c r="C73" s="10" t="e">
        <f>C50+C51</f>
        <v>#REF!</v>
      </c>
      <c r="D73" s="137">
        <f>D66+D67+D68+D69+D70</f>
        <v>9085551.35452</v>
      </c>
      <c r="E73" s="137"/>
      <c r="F73" s="137">
        <f>F66+F67+F68+F69+F70</f>
        <v>7067426.388259999</v>
      </c>
      <c r="G73" s="138"/>
      <c r="H73" s="221">
        <f t="shared" si="27"/>
      </c>
      <c r="I73" s="138">
        <f t="shared" si="28"/>
        <v>-2018124.966260001</v>
      </c>
      <c r="J73" s="138">
        <f t="shared" si="30"/>
        <v>77.787534432283</v>
      </c>
      <c r="K73" s="126">
        <f>K66+K69+K70</f>
        <v>932139.4049099999</v>
      </c>
      <c r="L73" s="126">
        <f>L66+L69+L70</f>
        <v>399011.05815999996</v>
      </c>
      <c r="M73" s="138">
        <f>L73-K73</f>
        <v>-533128.34675</v>
      </c>
      <c r="N73" s="139">
        <f>L73/K73*100</f>
        <v>42.80594255089187</v>
      </c>
      <c r="O73" s="138">
        <f t="shared" si="31"/>
        <v>10017690.75943</v>
      </c>
      <c r="P73" s="138">
        <f t="shared" si="32"/>
        <v>7466437.446419999</v>
      </c>
      <c r="Q73" s="138">
        <f>P73-O73</f>
        <v>-2551253.3130100016</v>
      </c>
      <c r="R73" s="139">
        <f t="shared" si="33"/>
        <v>74.53252077472628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18" ht="15.75">
      <c r="B74" s="30"/>
      <c r="C74" s="30"/>
      <c r="D74" s="140"/>
      <c r="E74" s="140"/>
      <c r="F74" s="84"/>
      <c r="G74" s="120"/>
      <c r="H74" s="120"/>
      <c r="I74" s="141"/>
      <c r="J74" s="141"/>
      <c r="K74" s="105"/>
      <c r="L74" s="105"/>
      <c r="M74" s="119"/>
      <c r="N74" s="119"/>
      <c r="O74" s="120"/>
      <c r="P74" s="120"/>
      <c r="Q74" s="120"/>
      <c r="R74" s="120"/>
    </row>
    <row r="75" spans="2:18" ht="15.75">
      <c r="B75" s="56"/>
      <c r="C75" s="33"/>
      <c r="D75" s="121"/>
      <c r="E75" s="121"/>
      <c r="F75" s="121"/>
      <c r="G75" s="122"/>
      <c r="H75" s="122"/>
      <c r="I75" s="120"/>
      <c r="J75" s="120"/>
      <c r="K75" s="123"/>
      <c r="L75" s="123"/>
      <c r="M75" s="119"/>
      <c r="N75" s="119"/>
      <c r="O75" s="120"/>
      <c r="P75" s="120"/>
      <c r="Q75" s="120"/>
      <c r="R75" s="120"/>
    </row>
    <row r="76" spans="2:12" ht="15.75">
      <c r="B76" s="32"/>
      <c r="C76" s="33"/>
      <c r="D76" s="83"/>
      <c r="E76" s="83"/>
      <c r="F76" s="79"/>
      <c r="G76" s="47"/>
      <c r="H76" s="47"/>
      <c r="I76" s="47"/>
      <c r="J76" s="47"/>
      <c r="K76" s="114"/>
      <c r="L76" s="114"/>
    </row>
    <row r="77" spans="2:12" ht="18.75">
      <c r="B77" s="117"/>
      <c r="C77" s="34"/>
      <c r="D77" s="78"/>
      <c r="E77" s="78"/>
      <c r="F77" s="84"/>
      <c r="K77" s="112"/>
      <c r="L77" s="112"/>
    </row>
    <row r="78" spans="2:8" ht="15.75">
      <c r="B78" s="24"/>
      <c r="C78" s="24"/>
      <c r="D78" s="78"/>
      <c r="E78" s="78"/>
      <c r="F78" s="78"/>
      <c r="G78" s="47"/>
      <c r="H78" s="47"/>
    </row>
    <row r="79" spans="2:5" ht="15.75">
      <c r="B79" s="24"/>
      <c r="C79" s="24"/>
      <c r="D79" s="78"/>
      <c r="E79" s="78"/>
    </row>
    <row r="80" spans="2:5" ht="15.75">
      <c r="B80" s="24"/>
      <c r="C80" s="24"/>
      <c r="D80" s="81"/>
      <c r="E80" s="81"/>
    </row>
    <row r="81" spans="2:5" ht="15.75">
      <c r="B81" s="24"/>
      <c r="C81" s="24"/>
      <c r="D81" s="85"/>
      <c r="E81" s="81"/>
    </row>
    <row r="82" spans="2:5" ht="15.75">
      <c r="B82" s="24"/>
      <c r="C82" s="24"/>
      <c r="D82" s="81"/>
      <c r="E82" s="81"/>
    </row>
    <row r="83" ht="15.75">
      <c r="D83" s="84"/>
    </row>
    <row r="126" spans="1:13" ht="15.75">
      <c r="A126" s="280"/>
      <c r="B126" s="280"/>
      <c r="C126" s="280"/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</row>
  </sheetData>
  <sheetProtection/>
  <mergeCells count="12">
    <mergeCell ref="A126:M126"/>
    <mergeCell ref="A5:R5"/>
    <mergeCell ref="K7:N7"/>
    <mergeCell ref="A7:A8"/>
    <mergeCell ref="B7:B8"/>
    <mergeCell ref="Q6:R6"/>
    <mergeCell ref="A1:R1"/>
    <mergeCell ref="A2:R2"/>
    <mergeCell ref="A3:R3"/>
    <mergeCell ref="O7:R7"/>
    <mergeCell ref="C7:J7"/>
    <mergeCell ref="A4:S4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9"/>
  <sheetViews>
    <sheetView showGridLines="0" showZeros="0" tabSelected="1" view="pageBreakPreview" zoomScale="70" zoomScaleNormal="75" zoomScaleSheetLayoutView="70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" sqref="D2"/>
    </sheetView>
  </sheetViews>
  <sheetFormatPr defaultColWidth="7.625" defaultRowHeight="12.75"/>
  <cols>
    <col min="1" max="1" width="11.00390625" style="36" customWidth="1"/>
    <col min="2" max="2" width="57.375" style="28" customWidth="1"/>
    <col min="3" max="3" width="25.00390625" style="97" customWidth="1"/>
    <col min="4" max="4" width="25.00390625" style="247" customWidth="1"/>
    <col min="5" max="5" width="22.75390625" style="103" customWidth="1"/>
    <col min="6" max="6" width="22.25390625" style="5" customWidth="1"/>
    <col min="7" max="7" width="20.875" style="5" customWidth="1"/>
    <col min="8" max="8" width="25.125" style="5" customWidth="1"/>
    <col min="9" max="9" width="17.00390625" style="23" customWidth="1"/>
    <col min="10" max="10" width="23.00390625" style="1" customWidth="1"/>
    <col min="11" max="11" width="22.25390625" style="1" customWidth="1"/>
    <col min="12" max="12" width="27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10" ht="18" customHeight="1">
      <c r="A1" s="288" t="s">
        <v>118</v>
      </c>
      <c r="B1" s="288"/>
      <c r="C1" s="288"/>
      <c r="D1" s="288"/>
      <c r="E1" s="98"/>
      <c r="F1" s="48"/>
      <c r="G1" s="48"/>
      <c r="H1" s="47"/>
      <c r="I1" s="31"/>
      <c r="J1" s="1" t="s">
        <v>24</v>
      </c>
    </row>
    <row r="2" spans="1:20" s="1" customFormat="1" ht="15.75">
      <c r="A2" s="35"/>
      <c r="B2" s="35" t="s">
        <v>24</v>
      </c>
      <c r="C2" s="91"/>
      <c r="D2" s="238"/>
      <c r="E2" s="99"/>
      <c r="F2" s="49"/>
      <c r="G2" s="49"/>
      <c r="H2" s="50"/>
      <c r="I2" s="76"/>
      <c r="J2" s="77"/>
      <c r="K2" s="248"/>
      <c r="L2" s="249"/>
      <c r="M2" s="22"/>
      <c r="R2" s="1" t="s">
        <v>198</v>
      </c>
      <c r="S2" s="22"/>
      <c r="T2" s="22"/>
    </row>
    <row r="3" spans="1:18" s="22" customFormat="1" ht="20.25">
      <c r="A3" s="284" t="s">
        <v>115</v>
      </c>
      <c r="B3" s="285" t="s">
        <v>25</v>
      </c>
      <c r="C3" s="287" t="s">
        <v>55</v>
      </c>
      <c r="D3" s="287"/>
      <c r="E3" s="287"/>
      <c r="F3" s="287"/>
      <c r="G3" s="287"/>
      <c r="H3" s="287"/>
      <c r="I3" s="287"/>
      <c r="J3" s="287" t="s">
        <v>56</v>
      </c>
      <c r="K3" s="287"/>
      <c r="L3" s="287"/>
      <c r="M3" s="287"/>
      <c r="N3" s="287" t="s">
        <v>57</v>
      </c>
      <c r="O3" s="287"/>
      <c r="P3" s="287"/>
      <c r="Q3" s="287"/>
      <c r="R3" s="287"/>
    </row>
    <row r="4" spans="1:18" s="63" customFormat="1" ht="128.25" customHeight="1">
      <c r="A4" s="284"/>
      <c r="B4" s="285"/>
      <c r="C4" s="92" t="s">
        <v>202</v>
      </c>
      <c r="D4" s="86" t="s">
        <v>211</v>
      </c>
      <c r="E4" s="100" t="s">
        <v>62</v>
      </c>
      <c r="F4" s="75" t="s">
        <v>214</v>
      </c>
      <c r="G4" s="58" t="s">
        <v>213</v>
      </c>
      <c r="H4" s="64" t="s">
        <v>93</v>
      </c>
      <c r="I4" s="64" t="s">
        <v>187</v>
      </c>
      <c r="J4" s="64" t="s">
        <v>200</v>
      </c>
      <c r="K4" s="59" t="s">
        <v>62</v>
      </c>
      <c r="L4" s="59" t="s">
        <v>170</v>
      </c>
      <c r="M4" s="59" t="s">
        <v>10</v>
      </c>
      <c r="N4" s="60" t="s">
        <v>61</v>
      </c>
      <c r="O4" s="60" t="s">
        <v>203</v>
      </c>
      <c r="P4" s="59" t="s">
        <v>62</v>
      </c>
      <c r="Q4" s="59" t="s">
        <v>177</v>
      </c>
      <c r="R4" s="59" t="s">
        <v>10</v>
      </c>
    </row>
    <row r="5" spans="1:20" s="11" customFormat="1" ht="14.25">
      <c r="A5" s="16">
        <v>1</v>
      </c>
      <c r="B5" s="16">
        <v>2</v>
      </c>
      <c r="C5" s="93" t="s">
        <v>51</v>
      </c>
      <c r="D5" s="239" t="s">
        <v>169</v>
      </c>
      <c r="E5" s="93" t="s">
        <v>11</v>
      </c>
      <c r="F5" s="15" t="s">
        <v>84</v>
      </c>
      <c r="G5" s="15" t="s">
        <v>85</v>
      </c>
      <c r="H5" s="15" t="s">
        <v>52</v>
      </c>
      <c r="I5" s="15" t="s">
        <v>12</v>
      </c>
      <c r="J5" s="239" t="s">
        <v>13</v>
      </c>
      <c r="K5" s="239" t="s">
        <v>14</v>
      </c>
      <c r="L5" s="239" t="s">
        <v>15</v>
      </c>
      <c r="M5" s="239" t="s">
        <v>53</v>
      </c>
      <c r="N5" s="15"/>
      <c r="O5" s="15" t="s">
        <v>16</v>
      </c>
      <c r="P5" s="15" t="s">
        <v>50</v>
      </c>
      <c r="Q5" s="15" t="s">
        <v>80</v>
      </c>
      <c r="R5" s="15" t="s">
        <v>81</v>
      </c>
      <c r="S5" s="25"/>
      <c r="T5" s="25"/>
    </row>
    <row r="6" spans="1:20" s="1" customFormat="1" ht="25.5" customHeight="1">
      <c r="A6" s="65" t="s">
        <v>95</v>
      </c>
      <c r="B6" s="159" t="s">
        <v>37</v>
      </c>
      <c r="C6" s="180">
        <f>C7+C9+C8</f>
        <v>941584.6111599999</v>
      </c>
      <c r="D6" s="180">
        <f>D7+D9+D8</f>
        <v>749454.8079</v>
      </c>
      <c r="E6" s="180">
        <f>E7+E9+E8</f>
        <v>627305.4661900001</v>
      </c>
      <c r="F6" s="181">
        <f>E6-D6</f>
        <v>-122149.34170999995</v>
      </c>
      <c r="G6" s="219">
        <f>_xlfn.IFERROR(E6/D6,"")</f>
        <v>0.8370157340743908</v>
      </c>
      <c r="H6" s="181">
        <f aca="true" t="shared" si="0" ref="H6:H13">E6-C6</f>
        <v>-314279.1449699998</v>
      </c>
      <c r="I6" s="219">
        <f>_xlfn.IFERROR(E6/C6,"")</f>
        <v>0.666223150585672</v>
      </c>
      <c r="J6" s="181">
        <f>J7+J9+J8</f>
        <v>44856.369210000004</v>
      </c>
      <c r="K6" s="181">
        <f>K7+K9+K8</f>
        <v>13756.61337</v>
      </c>
      <c r="L6" s="181">
        <f aca="true" t="shared" si="1" ref="L6:L16">K6-J6</f>
        <v>-31099.755840000005</v>
      </c>
      <c r="M6" s="219">
        <f>_xlfn.IFERROR(K6/J6,"")</f>
        <v>0.3066813835421433</v>
      </c>
      <c r="N6" s="181" t="e">
        <f>#REF!+#REF!</f>
        <v>#REF!</v>
      </c>
      <c r="O6" s="181">
        <f aca="true" t="shared" si="2" ref="O6:O13">C6+J6</f>
        <v>986440.9803699999</v>
      </c>
      <c r="P6" s="181">
        <f aca="true" t="shared" si="3" ref="P6:P13">E6+K6</f>
        <v>641062.0795600001</v>
      </c>
      <c r="Q6" s="181">
        <f aca="true" t="shared" si="4" ref="Q6:Q13">P6-O6</f>
        <v>-345378.9008099998</v>
      </c>
      <c r="R6" s="219">
        <f>_xlfn.IFERROR(P6/O6,"")</f>
        <v>0.6498737302251443</v>
      </c>
      <c r="S6" s="22"/>
      <c r="T6" s="22"/>
    </row>
    <row r="7" spans="1:20" s="1" customFormat="1" ht="133.5" customHeight="1">
      <c r="A7" s="66" t="s">
        <v>119</v>
      </c>
      <c r="B7" s="160" t="s">
        <v>137</v>
      </c>
      <c r="C7" s="182">
        <v>593226.95676</v>
      </c>
      <c r="D7" s="183">
        <v>473985.44476</v>
      </c>
      <c r="E7" s="183">
        <v>395412.92885</v>
      </c>
      <c r="F7" s="183">
        <f aca="true" t="shared" si="5" ref="F7:F51">E7-D7</f>
        <v>-78572.51590999996</v>
      </c>
      <c r="G7" s="220">
        <f aca="true" t="shared" si="6" ref="G7:G46">_xlfn.IFERROR(E7/D7,"")</f>
        <v>0.8342301081633746</v>
      </c>
      <c r="H7" s="183">
        <f t="shared" si="0"/>
        <v>-197814.02790999995</v>
      </c>
      <c r="I7" s="220">
        <f aca="true" t="shared" si="7" ref="I7:I46">_xlfn.IFERROR(E7/C7,"")</f>
        <v>0.666545787146303</v>
      </c>
      <c r="J7" s="183">
        <v>12947.44525</v>
      </c>
      <c r="K7" s="183">
        <v>7013.43615</v>
      </c>
      <c r="L7" s="183">
        <f>K7-J7</f>
        <v>-5934.0091</v>
      </c>
      <c r="M7" s="220">
        <f aca="true" t="shared" si="8" ref="M7:M46">_xlfn.IFERROR(K7/J7,"")</f>
        <v>0.5416849435992016</v>
      </c>
      <c r="N7" s="183"/>
      <c r="O7" s="183">
        <f t="shared" si="2"/>
        <v>606174.40201</v>
      </c>
      <c r="P7" s="183">
        <f t="shared" si="3"/>
        <v>402426.36500000005</v>
      </c>
      <c r="Q7" s="183">
        <f t="shared" si="4"/>
        <v>-203748.0370099999</v>
      </c>
      <c r="R7" s="220">
        <f aca="true" t="shared" si="9" ref="R7:R46">_xlfn.IFERROR(P7/O7,"")</f>
        <v>0.6638788501553408</v>
      </c>
      <c r="S7" s="22"/>
      <c r="T7" s="22"/>
    </row>
    <row r="8" spans="1:20" s="1" customFormat="1" ht="91.5" customHeight="1">
      <c r="A8" s="66" t="s">
        <v>136</v>
      </c>
      <c r="B8" s="160" t="s">
        <v>138</v>
      </c>
      <c r="C8" s="182">
        <v>283047.91427999997</v>
      </c>
      <c r="D8" s="183">
        <v>225167.25957999998</v>
      </c>
      <c r="E8" s="183">
        <v>190604.83649000002</v>
      </c>
      <c r="F8" s="183">
        <f>E8-D8</f>
        <v>-34562.42308999997</v>
      </c>
      <c r="G8" s="220">
        <f t="shared" si="6"/>
        <v>0.8465033364332427</v>
      </c>
      <c r="H8" s="183">
        <f>E8-C8</f>
        <v>-92443.07778999995</v>
      </c>
      <c r="I8" s="220">
        <f t="shared" si="7"/>
        <v>0.6734013107810704</v>
      </c>
      <c r="J8" s="183">
        <v>805.5460899999999</v>
      </c>
      <c r="K8" s="183">
        <v>602.5460899999999</v>
      </c>
      <c r="L8" s="183">
        <f>K8-J8</f>
        <v>-203</v>
      </c>
      <c r="M8" s="220">
        <f t="shared" si="8"/>
        <v>0.7479970388783093</v>
      </c>
      <c r="N8" s="183"/>
      <c r="O8" s="183">
        <f t="shared" si="2"/>
        <v>283853.46037</v>
      </c>
      <c r="P8" s="183">
        <f t="shared" si="3"/>
        <v>191207.38258</v>
      </c>
      <c r="Q8" s="183">
        <f t="shared" si="4"/>
        <v>-92646.07778999998</v>
      </c>
      <c r="R8" s="220">
        <f t="shared" si="9"/>
        <v>0.6736130055654886</v>
      </c>
      <c r="S8" s="22"/>
      <c r="T8" s="22"/>
    </row>
    <row r="9" spans="1:20" s="54" customFormat="1" ht="51.75" customHeight="1">
      <c r="A9" s="66" t="s">
        <v>96</v>
      </c>
      <c r="B9" s="160" t="s">
        <v>139</v>
      </c>
      <c r="C9" s="182">
        <v>65309.740119999995</v>
      </c>
      <c r="D9" s="183">
        <v>50302.10356</v>
      </c>
      <c r="E9" s="183">
        <v>41287.70085</v>
      </c>
      <c r="F9" s="183">
        <f>E9-D9</f>
        <v>-9014.402710000002</v>
      </c>
      <c r="G9" s="220">
        <f t="shared" si="6"/>
        <v>0.820794716880027</v>
      </c>
      <c r="H9" s="183">
        <f>E9-C9</f>
        <v>-24022.039269999994</v>
      </c>
      <c r="I9" s="220">
        <f t="shared" si="7"/>
        <v>0.6321828991225207</v>
      </c>
      <c r="J9" s="183">
        <v>31103.37787</v>
      </c>
      <c r="K9" s="183">
        <v>6140.63113</v>
      </c>
      <c r="L9" s="183">
        <f t="shared" si="1"/>
        <v>-24962.746740000002</v>
      </c>
      <c r="M9" s="220">
        <f t="shared" si="8"/>
        <v>0.1974265031812765</v>
      </c>
      <c r="N9" s="183" t="e">
        <f>#REF!+#REF!</f>
        <v>#REF!</v>
      </c>
      <c r="O9" s="183">
        <f t="shared" si="2"/>
        <v>96413.11799</v>
      </c>
      <c r="P9" s="183">
        <f t="shared" si="3"/>
        <v>47428.33198</v>
      </c>
      <c r="Q9" s="183">
        <f t="shared" si="4"/>
        <v>-48984.786009999996</v>
      </c>
      <c r="R9" s="220">
        <f t="shared" si="9"/>
        <v>0.49192820405330406</v>
      </c>
      <c r="S9" s="53"/>
      <c r="T9" s="53"/>
    </row>
    <row r="10" spans="1:20" s="1" customFormat="1" ht="24.75" customHeight="1">
      <c r="A10" s="65" t="s">
        <v>97</v>
      </c>
      <c r="B10" s="159" t="s">
        <v>38</v>
      </c>
      <c r="C10" s="180">
        <v>5753522.66316</v>
      </c>
      <c r="D10" s="181">
        <v>4474903.626509999</v>
      </c>
      <c r="E10" s="180">
        <v>3891309.25509</v>
      </c>
      <c r="F10" s="181">
        <f t="shared" si="5"/>
        <v>-583594.3714199988</v>
      </c>
      <c r="G10" s="219">
        <f t="shared" si="6"/>
        <v>0.8695850413486677</v>
      </c>
      <c r="H10" s="181">
        <f t="shared" si="0"/>
        <v>-1862213.40807</v>
      </c>
      <c r="I10" s="219">
        <f t="shared" si="7"/>
        <v>0.6763350877204647</v>
      </c>
      <c r="J10" s="181">
        <v>304542.88710000005</v>
      </c>
      <c r="K10" s="181">
        <v>90775.39937</v>
      </c>
      <c r="L10" s="181">
        <f t="shared" si="1"/>
        <v>-213767.48773000005</v>
      </c>
      <c r="M10" s="219">
        <f t="shared" si="8"/>
        <v>0.29807098840628277</v>
      </c>
      <c r="N10" s="181" t="e">
        <f>#REF!+#REF!</f>
        <v>#REF!</v>
      </c>
      <c r="O10" s="181">
        <f t="shared" si="2"/>
        <v>6058065.55026</v>
      </c>
      <c r="P10" s="181">
        <f t="shared" si="3"/>
        <v>3982084.65446</v>
      </c>
      <c r="Q10" s="181">
        <f t="shared" si="4"/>
        <v>-2075980.8958</v>
      </c>
      <c r="R10" s="219">
        <f t="shared" si="9"/>
        <v>0.6573195059418095</v>
      </c>
      <c r="S10" s="22"/>
      <c r="T10" s="22"/>
    </row>
    <row r="11" spans="1:20" s="1" customFormat="1" ht="29.25" customHeight="1">
      <c r="A11" s="65" t="s">
        <v>86</v>
      </c>
      <c r="B11" s="161" t="s">
        <v>188</v>
      </c>
      <c r="C11" s="180">
        <v>390290.22931</v>
      </c>
      <c r="D11" s="181">
        <v>299055.99131</v>
      </c>
      <c r="E11" s="180">
        <v>233590.96373</v>
      </c>
      <c r="F11" s="181">
        <f t="shared" si="5"/>
        <v>-65465.02758000002</v>
      </c>
      <c r="G11" s="219">
        <f t="shared" si="6"/>
        <v>0.7810944121425767</v>
      </c>
      <c r="H11" s="181">
        <f t="shared" si="0"/>
        <v>-156699.26558000004</v>
      </c>
      <c r="I11" s="219">
        <f t="shared" si="7"/>
        <v>0.5985057943750449</v>
      </c>
      <c r="J11" s="181">
        <v>25123.470699999998</v>
      </c>
      <c r="K11" s="181">
        <v>6162.6352400000005</v>
      </c>
      <c r="L11" s="181">
        <f t="shared" si="1"/>
        <v>-18960.83546</v>
      </c>
      <c r="M11" s="219">
        <f t="shared" si="8"/>
        <v>0.24529394499622223</v>
      </c>
      <c r="N11" s="181" t="e">
        <f>#REF!+#REF!</f>
        <v>#REF!</v>
      </c>
      <c r="O11" s="181">
        <f t="shared" si="2"/>
        <v>415413.70001000003</v>
      </c>
      <c r="P11" s="181">
        <f t="shared" si="3"/>
        <v>239753.59897</v>
      </c>
      <c r="Q11" s="181">
        <f t="shared" si="4"/>
        <v>-175660.10104000004</v>
      </c>
      <c r="R11" s="219">
        <f t="shared" si="9"/>
        <v>0.5771441793186612</v>
      </c>
      <c r="S11" s="22"/>
      <c r="T11" s="22"/>
    </row>
    <row r="12" spans="1:20" s="1" customFormat="1" ht="47.25" customHeight="1">
      <c r="A12" s="233" t="s">
        <v>87</v>
      </c>
      <c r="B12" s="162" t="s">
        <v>39</v>
      </c>
      <c r="C12" s="180">
        <f>SUM(C13:C29)</f>
        <v>410811.43480999995</v>
      </c>
      <c r="D12" s="180">
        <f>SUM(D13:D29)</f>
        <v>314651.56654</v>
      </c>
      <c r="E12" s="180">
        <f>SUM(E13:E29)</f>
        <v>265216.35273000004</v>
      </c>
      <c r="F12" s="181">
        <f t="shared" si="5"/>
        <v>-49435.21380999999</v>
      </c>
      <c r="G12" s="219">
        <f t="shared" si="6"/>
        <v>0.8428890268889999</v>
      </c>
      <c r="H12" s="181">
        <f t="shared" si="0"/>
        <v>-145595.0820799999</v>
      </c>
      <c r="I12" s="219">
        <f t="shared" si="7"/>
        <v>0.6455914569482771</v>
      </c>
      <c r="J12" s="181">
        <f>SUM(J13:J29)</f>
        <v>162430.45054999998</v>
      </c>
      <c r="K12" s="181">
        <f>SUM(K13:K29)</f>
        <v>105522.01857</v>
      </c>
      <c r="L12" s="181">
        <f t="shared" si="1"/>
        <v>-56908.43197999998</v>
      </c>
      <c r="M12" s="219">
        <f t="shared" si="8"/>
        <v>0.6496443136905404</v>
      </c>
      <c r="N12" s="181" t="e">
        <f>#REF!+#REF!</f>
        <v>#REF!</v>
      </c>
      <c r="O12" s="181">
        <f t="shared" si="2"/>
        <v>573241.88536</v>
      </c>
      <c r="P12" s="181">
        <f t="shared" si="3"/>
        <v>370738.37130000006</v>
      </c>
      <c r="Q12" s="181">
        <f t="shared" si="4"/>
        <v>-202503.5140599999</v>
      </c>
      <c r="R12" s="219">
        <f t="shared" si="9"/>
        <v>0.6467398506080444</v>
      </c>
      <c r="S12" s="22"/>
      <c r="T12" s="22"/>
    </row>
    <row r="13" spans="1:20" s="54" customFormat="1" ht="108" customHeight="1">
      <c r="A13" s="67" t="s">
        <v>99</v>
      </c>
      <c r="B13" s="160" t="s">
        <v>171</v>
      </c>
      <c r="C13" s="182">
        <v>58608.04</v>
      </c>
      <c r="D13" s="183">
        <v>34388.29</v>
      </c>
      <c r="E13" s="182">
        <v>32491.70425</v>
      </c>
      <c r="F13" s="183">
        <f t="shared" si="5"/>
        <v>-1896.585750000002</v>
      </c>
      <c r="G13" s="220">
        <f t="shared" si="6"/>
        <v>0.9448479191608539</v>
      </c>
      <c r="H13" s="183">
        <f t="shared" si="0"/>
        <v>-26116.335750000002</v>
      </c>
      <c r="I13" s="220">
        <f t="shared" si="7"/>
        <v>0.5543898797844118</v>
      </c>
      <c r="J13" s="183"/>
      <c r="K13" s="183"/>
      <c r="L13" s="183">
        <f t="shared" si="1"/>
        <v>0</v>
      </c>
      <c r="M13" s="220">
        <f t="shared" si="8"/>
      </c>
      <c r="N13" s="183" t="e">
        <f>#REF!+#REF!</f>
        <v>#REF!</v>
      </c>
      <c r="O13" s="183">
        <f t="shared" si="2"/>
        <v>58608.04</v>
      </c>
      <c r="P13" s="183">
        <f t="shared" si="3"/>
        <v>32491.70425</v>
      </c>
      <c r="Q13" s="183">
        <f t="shared" si="4"/>
        <v>-26116.335750000002</v>
      </c>
      <c r="R13" s="220">
        <f t="shared" si="9"/>
        <v>0.5543898797844118</v>
      </c>
      <c r="S13" s="53"/>
      <c r="T13" s="53"/>
    </row>
    <row r="14" spans="1:20" s="54" customFormat="1" ht="66.75" customHeight="1">
      <c r="A14" s="67">
        <v>3050</v>
      </c>
      <c r="B14" s="160" t="s">
        <v>140</v>
      </c>
      <c r="C14" s="182">
        <v>1400</v>
      </c>
      <c r="D14" s="183">
        <v>1058.707</v>
      </c>
      <c r="E14" s="182">
        <v>716.64268</v>
      </c>
      <c r="F14" s="183">
        <f aca="true" t="shared" si="10" ref="F14:F21">E14-D14</f>
        <v>-342.06432000000007</v>
      </c>
      <c r="G14" s="220">
        <f t="shared" si="6"/>
        <v>0.6769036947899655</v>
      </c>
      <c r="H14" s="183">
        <f aca="true" t="shared" si="11" ref="H14:H21">E14-C14</f>
        <v>-683.35732</v>
      </c>
      <c r="I14" s="220">
        <f t="shared" si="7"/>
        <v>0.5118876285714286</v>
      </c>
      <c r="J14" s="183">
        <v>0</v>
      </c>
      <c r="K14" s="183">
        <v>0</v>
      </c>
      <c r="L14" s="183">
        <f t="shared" si="1"/>
        <v>0</v>
      </c>
      <c r="M14" s="220">
        <f t="shared" si="8"/>
      </c>
      <c r="N14" s="183"/>
      <c r="O14" s="183">
        <f aca="true" t="shared" si="12" ref="O14:O27">C14+J14</f>
        <v>1400</v>
      </c>
      <c r="P14" s="183">
        <f aca="true" t="shared" si="13" ref="P14:P27">E14+K14</f>
        <v>716.64268</v>
      </c>
      <c r="Q14" s="183">
        <f aca="true" t="shared" si="14" ref="Q14:Q27">P14-O14</f>
        <v>-683.35732</v>
      </c>
      <c r="R14" s="220">
        <f t="shared" si="9"/>
        <v>0.5118876285714286</v>
      </c>
      <c r="S14" s="53"/>
      <c r="T14" s="53"/>
    </row>
    <row r="15" spans="1:20" s="54" customFormat="1" ht="66.75" customHeight="1">
      <c r="A15" s="67">
        <v>3070</v>
      </c>
      <c r="B15" s="160" t="s">
        <v>206</v>
      </c>
      <c r="C15" s="182">
        <v>51.792</v>
      </c>
      <c r="D15" s="183">
        <v>51.792</v>
      </c>
      <c r="E15" s="182">
        <v>9.5591</v>
      </c>
      <c r="F15" s="183">
        <f>E15-D15</f>
        <v>-42.2329</v>
      </c>
      <c r="G15" s="220">
        <f>_xlfn.IFERROR(E15/D15,"")</f>
        <v>0.18456711461229536</v>
      </c>
      <c r="H15" s="183">
        <f>E15-C15</f>
        <v>-42.2329</v>
      </c>
      <c r="I15" s="220">
        <f>_xlfn.IFERROR(E15/C15,"")</f>
        <v>0.18456711461229536</v>
      </c>
      <c r="J15" s="183"/>
      <c r="K15" s="183"/>
      <c r="L15" s="183">
        <f>K15-J15</f>
        <v>0</v>
      </c>
      <c r="M15" s="220">
        <f>_xlfn.IFERROR(K15/J15,"")</f>
      </c>
      <c r="N15" s="183"/>
      <c r="O15" s="183">
        <f>C15+J15</f>
        <v>51.792</v>
      </c>
      <c r="P15" s="183">
        <f>E15+K15</f>
        <v>9.5591</v>
      </c>
      <c r="Q15" s="183">
        <f>P15-O15</f>
        <v>-42.2329</v>
      </c>
      <c r="R15" s="220">
        <f>_xlfn.IFERROR(P15/O15,"")</f>
        <v>0.18456711461229536</v>
      </c>
      <c r="S15" s="53"/>
      <c r="T15" s="53"/>
    </row>
    <row r="16" spans="1:20" s="54" customFormat="1" ht="60.75" customHeight="1">
      <c r="A16" s="67">
        <v>3090</v>
      </c>
      <c r="B16" s="160" t="s">
        <v>141</v>
      </c>
      <c r="C16" s="182">
        <v>1201.531</v>
      </c>
      <c r="D16" s="183">
        <v>1100.591</v>
      </c>
      <c r="E16" s="182">
        <v>537.8312099999999</v>
      </c>
      <c r="F16" s="183">
        <f t="shared" si="10"/>
        <v>-562.75979</v>
      </c>
      <c r="G16" s="220">
        <f t="shared" si="6"/>
        <v>0.4886749119336793</v>
      </c>
      <c r="H16" s="183">
        <f t="shared" si="11"/>
        <v>-663.69979</v>
      </c>
      <c r="I16" s="220">
        <f t="shared" si="7"/>
        <v>0.4476215844618241</v>
      </c>
      <c r="J16" s="183"/>
      <c r="K16" s="183"/>
      <c r="L16" s="183">
        <f t="shared" si="1"/>
        <v>0</v>
      </c>
      <c r="M16" s="220">
        <f t="shared" si="8"/>
      </c>
      <c r="N16" s="183"/>
      <c r="O16" s="183">
        <f t="shared" si="12"/>
        <v>1201.531</v>
      </c>
      <c r="P16" s="183">
        <f t="shared" si="13"/>
        <v>537.8312099999999</v>
      </c>
      <c r="Q16" s="183">
        <f t="shared" si="14"/>
        <v>-663.69979</v>
      </c>
      <c r="R16" s="220">
        <f t="shared" si="9"/>
        <v>0.4476215844618241</v>
      </c>
      <c r="S16" s="53"/>
      <c r="T16" s="53"/>
    </row>
    <row r="17" spans="1:20" s="54" customFormat="1" ht="102" customHeight="1">
      <c r="A17" s="260" t="s">
        <v>88</v>
      </c>
      <c r="B17" s="259" t="s">
        <v>172</v>
      </c>
      <c r="C17" s="182">
        <v>201356.89367</v>
      </c>
      <c r="D17" s="183">
        <v>157453.7744</v>
      </c>
      <c r="E17" s="182">
        <v>138597.73005</v>
      </c>
      <c r="F17" s="183">
        <f t="shared" si="10"/>
        <v>-18856.044349999982</v>
      </c>
      <c r="G17" s="220">
        <f t="shared" si="6"/>
        <v>0.8802439355813881</v>
      </c>
      <c r="H17" s="183">
        <f t="shared" si="11"/>
        <v>-62759.16361999998</v>
      </c>
      <c r="I17" s="220">
        <f t="shared" si="7"/>
        <v>0.6883187733177152</v>
      </c>
      <c r="J17" s="183">
        <v>65081.79328</v>
      </c>
      <c r="K17" s="183">
        <v>42585.07149</v>
      </c>
      <c r="L17" s="183">
        <f>K17-J17</f>
        <v>-22496.721789999996</v>
      </c>
      <c r="M17" s="220">
        <f t="shared" si="8"/>
        <v>0.6543315625429552</v>
      </c>
      <c r="N17" s="183" t="e">
        <f>#REF!+#REF!</f>
        <v>#REF!</v>
      </c>
      <c r="O17" s="183">
        <f t="shared" si="12"/>
        <v>266438.68695</v>
      </c>
      <c r="P17" s="183">
        <f t="shared" si="13"/>
        <v>181182.80154000001</v>
      </c>
      <c r="Q17" s="183">
        <f t="shared" si="14"/>
        <v>-85255.88540999999</v>
      </c>
      <c r="R17" s="220">
        <f t="shared" si="9"/>
        <v>0.6800168684737621</v>
      </c>
      <c r="S17" s="53"/>
      <c r="T17" s="53"/>
    </row>
    <row r="18" spans="1:20" s="54" customFormat="1" ht="52.5" customHeight="1">
      <c r="A18" s="67" t="s">
        <v>89</v>
      </c>
      <c r="B18" s="160" t="s">
        <v>173</v>
      </c>
      <c r="C18" s="182">
        <v>6706.88858</v>
      </c>
      <c r="D18" s="183">
        <v>5087.38858</v>
      </c>
      <c r="E18" s="182">
        <v>4323.1117300000005</v>
      </c>
      <c r="F18" s="183">
        <f t="shared" si="10"/>
        <v>-764.2768499999993</v>
      </c>
      <c r="G18" s="220">
        <f t="shared" si="6"/>
        <v>0.8497703019964715</v>
      </c>
      <c r="H18" s="183">
        <f t="shared" si="11"/>
        <v>-2383.7768499999993</v>
      </c>
      <c r="I18" s="220">
        <f t="shared" si="7"/>
        <v>0.644577836419045</v>
      </c>
      <c r="J18" s="183">
        <v>669.66187</v>
      </c>
      <c r="K18" s="183">
        <v>627.66187</v>
      </c>
      <c r="L18" s="183">
        <f>K18-J18</f>
        <v>-42</v>
      </c>
      <c r="M18" s="220">
        <f t="shared" si="8"/>
        <v>0.9372817807291313</v>
      </c>
      <c r="N18" s="183"/>
      <c r="O18" s="183">
        <f t="shared" si="12"/>
        <v>7376.55045</v>
      </c>
      <c r="P18" s="183">
        <f t="shared" si="13"/>
        <v>4950.7736</v>
      </c>
      <c r="Q18" s="183">
        <f t="shared" si="14"/>
        <v>-2425.7768499999993</v>
      </c>
      <c r="R18" s="220">
        <f t="shared" si="9"/>
        <v>0.6711502393371418</v>
      </c>
      <c r="S18" s="53"/>
      <c r="T18" s="53"/>
    </row>
    <row r="19" spans="1:20" s="54" customFormat="1" ht="54.75" customHeight="1">
      <c r="A19" s="67">
        <v>3120</v>
      </c>
      <c r="B19" s="160" t="s">
        <v>174</v>
      </c>
      <c r="C19" s="182">
        <v>12889.93625</v>
      </c>
      <c r="D19" s="183">
        <v>9755.57825</v>
      </c>
      <c r="E19" s="182">
        <v>8296.61821</v>
      </c>
      <c r="F19" s="183">
        <f t="shared" si="10"/>
        <v>-1458.96004</v>
      </c>
      <c r="G19" s="220">
        <f t="shared" si="6"/>
        <v>0.8504486353743306</v>
      </c>
      <c r="H19" s="183">
        <f t="shared" si="11"/>
        <v>-4593.31804</v>
      </c>
      <c r="I19" s="220">
        <f t="shared" si="7"/>
        <v>0.643650833416651</v>
      </c>
      <c r="J19" s="183">
        <v>383.29240000000004</v>
      </c>
      <c r="K19" s="183">
        <v>383.29240000000004</v>
      </c>
      <c r="L19" s="183">
        <f>K19-J19</f>
        <v>0</v>
      </c>
      <c r="M19" s="220">
        <f t="shared" si="8"/>
        <v>1</v>
      </c>
      <c r="N19" s="183"/>
      <c r="O19" s="183">
        <f t="shared" si="12"/>
        <v>13273.228650000001</v>
      </c>
      <c r="P19" s="183">
        <f t="shared" si="13"/>
        <v>8679.91061</v>
      </c>
      <c r="Q19" s="183">
        <f t="shared" si="14"/>
        <v>-4593.31804</v>
      </c>
      <c r="R19" s="220">
        <f t="shared" si="9"/>
        <v>0.6539411652491951</v>
      </c>
      <c r="S19" s="53"/>
      <c r="T19" s="53"/>
    </row>
    <row r="20" spans="1:20" s="54" customFormat="1" ht="47.25" customHeight="1">
      <c r="A20" s="67" t="s">
        <v>90</v>
      </c>
      <c r="B20" s="160" t="s">
        <v>102</v>
      </c>
      <c r="C20" s="182">
        <v>3482</v>
      </c>
      <c r="D20" s="183">
        <v>2414.05</v>
      </c>
      <c r="E20" s="182">
        <v>1701.31507</v>
      </c>
      <c r="F20" s="183">
        <f t="shared" si="10"/>
        <v>-712.7349300000001</v>
      </c>
      <c r="G20" s="220">
        <f t="shared" si="6"/>
        <v>0.7047555228764939</v>
      </c>
      <c r="H20" s="183">
        <f t="shared" si="11"/>
        <v>-1780.68493</v>
      </c>
      <c r="I20" s="220">
        <f t="shared" si="7"/>
        <v>0.4886028345778289</v>
      </c>
      <c r="J20" s="183">
        <v>38.73</v>
      </c>
      <c r="K20" s="183">
        <v>38.73</v>
      </c>
      <c r="L20" s="183">
        <f>K20-J20</f>
        <v>0</v>
      </c>
      <c r="M20" s="220">
        <f t="shared" si="8"/>
        <v>1</v>
      </c>
      <c r="N20" s="183"/>
      <c r="O20" s="183">
        <f t="shared" si="12"/>
        <v>3520.73</v>
      </c>
      <c r="P20" s="183">
        <f t="shared" si="13"/>
        <v>1740.0450700000001</v>
      </c>
      <c r="Q20" s="183">
        <f t="shared" si="14"/>
        <v>-1780.68493</v>
      </c>
      <c r="R20" s="220">
        <f t="shared" si="9"/>
        <v>0.4942284895462021</v>
      </c>
      <c r="S20" s="53"/>
      <c r="T20" s="53"/>
    </row>
    <row r="21" spans="1:20" s="54" customFormat="1" ht="126.75" customHeight="1">
      <c r="A21" s="67" t="s">
        <v>91</v>
      </c>
      <c r="B21" s="160" t="s">
        <v>175</v>
      </c>
      <c r="C21" s="182">
        <v>395</v>
      </c>
      <c r="D21" s="183">
        <v>395</v>
      </c>
      <c r="E21" s="182" t="s">
        <v>215</v>
      </c>
      <c r="F21" s="183" t="e">
        <f t="shared" si="10"/>
        <v>#VALUE!</v>
      </c>
      <c r="G21" s="220">
        <f t="shared" si="6"/>
      </c>
      <c r="H21" s="183" t="e">
        <f t="shared" si="11"/>
        <v>#VALUE!</v>
      </c>
      <c r="I21" s="220">
        <f t="shared" si="7"/>
      </c>
      <c r="J21" s="183">
        <v>143.49292000000003</v>
      </c>
      <c r="K21" s="183">
        <v>0</v>
      </c>
      <c r="L21" s="183">
        <f>K21-J21</f>
        <v>-143.49292000000003</v>
      </c>
      <c r="M21" s="220">
        <f t="shared" si="8"/>
        <v>0</v>
      </c>
      <c r="N21" s="183" t="e">
        <f>#REF!+#REF!</f>
        <v>#REF!</v>
      </c>
      <c r="O21" s="183">
        <f t="shared" si="12"/>
        <v>538.49292</v>
      </c>
      <c r="P21" s="183" t="e">
        <f t="shared" si="13"/>
        <v>#VALUE!</v>
      </c>
      <c r="Q21" s="183" t="e">
        <f t="shared" si="14"/>
        <v>#VALUE!</v>
      </c>
      <c r="R21" s="220">
        <f t="shared" si="9"/>
      </c>
      <c r="S21" s="53"/>
      <c r="T21" s="53"/>
    </row>
    <row r="22" spans="1:20" s="54" customFormat="1" ht="150" customHeight="1">
      <c r="A22" s="67">
        <v>3160</v>
      </c>
      <c r="B22" s="160" t="s">
        <v>142</v>
      </c>
      <c r="C22" s="182">
        <v>4386.91571</v>
      </c>
      <c r="D22" s="183">
        <v>3580.99071</v>
      </c>
      <c r="E22" s="182">
        <v>3072.75938</v>
      </c>
      <c r="F22" s="183">
        <f>E22-D22</f>
        <v>-508.23133000000007</v>
      </c>
      <c r="G22" s="220">
        <f t="shared" si="6"/>
        <v>0.8580752168441118</v>
      </c>
      <c r="H22" s="183">
        <f>E22-C22</f>
        <v>-1314.1563300000003</v>
      </c>
      <c r="I22" s="220">
        <f t="shared" si="7"/>
        <v>0.7004372965260369</v>
      </c>
      <c r="J22" s="183">
        <v>0</v>
      </c>
      <c r="K22" s="183">
        <v>0</v>
      </c>
      <c r="L22" s="183">
        <f aca="true" t="shared" si="15" ref="L22:L29">K22-J22</f>
        <v>0</v>
      </c>
      <c r="M22" s="220">
        <f t="shared" si="8"/>
      </c>
      <c r="N22" s="183"/>
      <c r="O22" s="183">
        <f t="shared" si="12"/>
        <v>4386.91571</v>
      </c>
      <c r="P22" s="183">
        <f>E22+K22</f>
        <v>3072.75938</v>
      </c>
      <c r="Q22" s="183">
        <f t="shared" si="14"/>
        <v>-1314.1563300000003</v>
      </c>
      <c r="R22" s="220">
        <f t="shared" si="9"/>
        <v>0.7004372965260369</v>
      </c>
      <c r="S22" s="53"/>
      <c r="T22" s="53"/>
    </row>
    <row r="23" spans="1:20" s="54" customFormat="1" ht="50.25" customHeight="1">
      <c r="A23" s="67">
        <v>3170</v>
      </c>
      <c r="B23" s="160" t="s">
        <v>144</v>
      </c>
      <c r="C23" s="182">
        <v>551</v>
      </c>
      <c r="D23" s="183">
        <v>550.75</v>
      </c>
      <c r="E23" s="182">
        <v>533.01349</v>
      </c>
      <c r="F23" s="183">
        <f>E23-D23</f>
        <v>-17.736509999999953</v>
      </c>
      <c r="G23" s="220">
        <f t="shared" si="6"/>
        <v>0.9677957149341807</v>
      </c>
      <c r="H23" s="183">
        <f>E23-C23</f>
        <v>-17.986509999999953</v>
      </c>
      <c r="I23" s="220">
        <f t="shared" si="7"/>
        <v>0.967356606170599</v>
      </c>
      <c r="J23" s="183">
        <v>0</v>
      </c>
      <c r="K23" s="183">
        <v>0</v>
      </c>
      <c r="L23" s="183">
        <f t="shared" si="15"/>
        <v>0</v>
      </c>
      <c r="M23" s="220">
        <f t="shared" si="8"/>
      </c>
      <c r="N23" s="183"/>
      <c r="O23" s="183">
        <f t="shared" si="12"/>
        <v>551</v>
      </c>
      <c r="P23" s="183">
        <f>E23+K23</f>
        <v>533.01349</v>
      </c>
      <c r="Q23" s="183">
        <f t="shared" si="14"/>
        <v>-17.986509999999953</v>
      </c>
      <c r="R23" s="220">
        <f t="shared" si="9"/>
        <v>0.967356606170599</v>
      </c>
      <c r="S23" s="53"/>
      <c r="T23" s="53"/>
    </row>
    <row r="24" spans="1:20" s="54" customFormat="1" ht="126" customHeight="1">
      <c r="A24" s="67" t="s">
        <v>100</v>
      </c>
      <c r="B24" s="160" t="s">
        <v>176</v>
      </c>
      <c r="C24" s="182">
        <v>13005</v>
      </c>
      <c r="D24" s="183">
        <v>8804.2</v>
      </c>
      <c r="E24" s="182">
        <v>8380.91786</v>
      </c>
      <c r="F24" s="183">
        <f t="shared" si="5"/>
        <v>-423.28214000000116</v>
      </c>
      <c r="G24" s="220">
        <f t="shared" si="6"/>
        <v>0.9519227028009358</v>
      </c>
      <c r="H24" s="183">
        <f aca="true" t="shared" si="16" ref="H24:H33">E24-C24</f>
        <v>-4624.08214</v>
      </c>
      <c r="I24" s="220">
        <f t="shared" si="7"/>
        <v>0.6444381284121491</v>
      </c>
      <c r="J24" s="183">
        <v>0</v>
      </c>
      <c r="K24" s="183">
        <v>0</v>
      </c>
      <c r="L24" s="183">
        <f t="shared" si="15"/>
        <v>0</v>
      </c>
      <c r="M24" s="220">
        <f t="shared" si="8"/>
      </c>
      <c r="N24" s="183" t="e">
        <f>#REF!+#REF!</f>
        <v>#REF!</v>
      </c>
      <c r="O24" s="183">
        <f t="shared" si="12"/>
        <v>13005</v>
      </c>
      <c r="P24" s="183">
        <f t="shared" si="13"/>
        <v>8380.91786</v>
      </c>
      <c r="Q24" s="183">
        <f t="shared" si="14"/>
        <v>-4624.08214</v>
      </c>
      <c r="R24" s="220">
        <f t="shared" si="9"/>
        <v>0.6444381284121491</v>
      </c>
      <c r="S24" s="53"/>
      <c r="T24" s="53"/>
    </row>
    <row r="25" spans="1:20" s="54" customFormat="1" ht="48.75" customHeight="1">
      <c r="A25" s="67" t="s">
        <v>101</v>
      </c>
      <c r="B25" s="160" t="s">
        <v>98</v>
      </c>
      <c r="C25" s="182">
        <v>1667.41</v>
      </c>
      <c r="D25" s="183">
        <v>1229.575</v>
      </c>
      <c r="E25" s="182">
        <v>478.86128</v>
      </c>
      <c r="F25" s="183">
        <f t="shared" si="5"/>
        <v>-750.71372</v>
      </c>
      <c r="G25" s="220">
        <f t="shared" si="6"/>
        <v>0.389452680804343</v>
      </c>
      <c r="H25" s="183">
        <f t="shared" si="16"/>
        <v>-1188.54872</v>
      </c>
      <c r="I25" s="220">
        <f t="shared" si="7"/>
        <v>0.2871886818478958</v>
      </c>
      <c r="J25" s="183">
        <v>0</v>
      </c>
      <c r="K25" s="183">
        <v>0</v>
      </c>
      <c r="L25" s="183">
        <f t="shared" si="15"/>
        <v>0</v>
      </c>
      <c r="M25" s="220">
        <f t="shared" si="8"/>
      </c>
      <c r="N25" s="183" t="e">
        <f>#REF!+#REF!</f>
        <v>#REF!</v>
      </c>
      <c r="O25" s="183">
        <f t="shared" si="12"/>
        <v>1667.41</v>
      </c>
      <c r="P25" s="183">
        <f t="shared" si="13"/>
        <v>478.86128</v>
      </c>
      <c r="Q25" s="183">
        <f t="shared" si="14"/>
        <v>-1188.54872</v>
      </c>
      <c r="R25" s="220">
        <f t="shared" si="9"/>
        <v>0.2871886818478958</v>
      </c>
      <c r="S25" s="53"/>
      <c r="T25" s="53"/>
    </row>
    <row r="26" spans="1:20" s="54" customFormat="1" ht="66.75" customHeight="1">
      <c r="A26" s="67">
        <v>3200</v>
      </c>
      <c r="B26" s="160" t="s">
        <v>143</v>
      </c>
      <c r="C26" s="182">
        <v>10794.69</v>
      </c>
      <c r="D26" s="183">
        <v>8226.48</v>
      </c>
      <c r="E26" s="182">
        <v>8015.56774</v>
      </c>
      <c r="F26" s="183">
        <f>E26-D26</f>
        <v>-210.91225999999915</v>
      </c>
      <c r="G26" s="220">
        <f t="shared" si="6"/>
        <v>0.974361785356556</v>
      </c>
      <c r="H26" s="183">
        <f>E26-C26</f>
        <v>-2779.12226</v>
      </c>
      <c r="I26" s="220">
        <f t="shared" si="7"/>
        <v>0.7425472838960637</v>
      </c>
      <c r="J26" s="183">
        <v>674.0441800000001</v>
      </c>
      <c r="K26" s="183">
        <v>139.22539</v>
      </c>
      <c r="L26" s="183">
        <f t="shared" si="15"/>
        <v>-534.81879</v>
      </c>
      <c r="M26" s="220">
        <f t="shared" si="8"/>
        <v>0.20655232124398729</v>
      </c>
      <c r="N26" s="183"/>
      <c r="O26" s="183">
        <f t="shared" si="12"/>
        <v>11468.734180000001</v>
      </c>
      <c r="P26" s="183">
        <f t="shared" si="13"/>
        <v>8154.79313</v>
      </c>
      <c r="Q26" s="183">
        <f t="shared" si="14"/>
        <v>-3313.9410500000013</v>
      </c>
      <c r="R26" s="220">
        <f t="shared" si="9"/>
        <v>0.7110456134052624</v>
      </c>
      <c r="S26" s="53"/>
      <c r="T26" s="53"/>
    </row>
    <row r="27" spans="1:20" s="54" customFormat="1" ht="53.25" customHeight="1">
      <c r="A27" s="67">
        <v>3210</v>
      </c>
      <c r="B27" s="160" t="s">
        <v>83</v>
      </c>
      <c r="C27" s="182">
        <v>1356.86</v>
      </c>
      <c r="D27" s="183">
        <v>1216.548</v>
      </c>
      <c r="E27" s="182">
        <v>434.4069</v>
      </c>
      <c r="F27" s="183">
        <f>E27-D27</f>
        <v>-782.1411</v>
      </c>
      <c r="G27" s="220">
        <f t="shared" si="6"/>
        <v>0.35708159480760315</v>
      </c>
      <c r="H27" s="183">
        <f>E27-C27</f>
        <v>-922.4531</v>
      </c>
      <c r="I27" s="220">
        <f t="shared" si="7"/>
        <v>0.32015602199195203</v>
      </c>
      <c r="J27" s="183">
        <v>280.50685999999996</v>
      </c>
      <c r="K27" s="183">
        <v>81.29691</v>
      </c>
      <c r="L27" s="183">
        <f t="shared" si="15"/>
        <v>-199.20994999999996</v>
      </c>
      <c r="M27" s="220">
        <f t="shared" si="8"/>
        <v>0.28982146818084953</v>
      </c>
      <c r="N27" s="183"/>
      <c r="O27" s="183">
        <f t="shared" si="12"/>
        <v>1637.3668599999999</v>
      </c>
      <c r="P27" s="183">
        <f t="shared" si="13"/>
        <v>515.70381</v>
      </c>
      <c r="Q27" s="183">
        <f t="shared" si="14"/>
        <v>-1121.6630499999999</v>
      </c>
      <c r="R27" s="220">
        <f t="shared" si="9"/>
        <v>0.31495923277694776</v>
      </c>
      <c r="S27" s="53"/>
      <c r="T27" s="53"/>
    </row>
    <row r="28" spans="1:20" s="54" customFormat="1" ht="84.75" customHeight="1">
      <c r="A28" s="67">
        <v>3230</v>
      </c>
      <c r="B28" s="160" t="s">
        <v>207</v>
      </c>
      <c r="C28" s="182">
        <v>25383.53302</v>
      </c>
      <c r="D28" s="183">
        <v>25328.03302</v>
      </c>
      <c r="E28" s="182">
        <v>16778.94023</v>
      </c>
      <c r="F28" s="183"/>
      <c r="G28" s="220"/>
      <c r="H28" s="183"/>
      <c r="I28" s="220"/>
      <c r="J28" s="183">
        <v>89029.89979000001</v>
      </c>
      <c r="K28" s="183">
        <v>56052.96079</v>
      </c>
      <c r="L28" s="183"/>
      <c r="M28" s="220"/>
      <c r="N28" s="183"/>
      <c r="O28" s="183"/>
      <c r="P28" s="183"/>
      <c r="Q28" s="183"/>
      <c r="R28" s="220"/>
      <c r="S28" s="53"/>
      <c r="T28" s="53"/>
    </row>
    <row r="29" spans="1:20" s="54" customFormat="1" ht="32.25" customHeight="1">
      <c r="A29" s="67" t="s">
        <v>103</v>
      </c>
      <c r="B29" s="160" t="s">
        <v>134</v>
      </c>
      <c r="C29" s="182">
        <v>67573.94458</v>
      </c>
      <c r="D29" s="183">
        <v>54009.81858</v>
      </c>
      <c r="E29" s="182">
        <v>40847.37355</v>
      </c>
      <c r="F29" s="183">
        <f t="shared" si="5"/>
        <v>-13162.445030000003</v>
      </c>
      <c r="G29" s="220">
        <f t="shared" si="6"/>
        <v>0.7562953297000317</v>
      </c>
      <c r="H29" s="183">
        <f t="shared" si="16"/>
        <v>-26726.57103</v>
      </c>
      <c r="I29" s="220">
        <f t="shared" si="7"/>
        <v>0.6044840774633375</v>
      </c>
      <c r="J29" s="183">
        <v>6129.02925</v>
      </c>
      <c r="K29" s="183">
        <v>5613.7797199999995</v>
      </c>
      <c r="L29" s="183">
        <f t="shared" si="15"/>
        <v>-515.24953</v>
      </c>
      <c r="M29" s="220">
        <f t="shared" si="8"/>
        <v>0.9159329301618196</v>
      </c>
      <c r="N29" s="183"/>
      <c r="O29" s="183">
        <f aca="true" t="shared" si="17" ref="O29:O46">C29+J29</f>
        <v>73702.97383</v>
      </c>
      <c r="P29" s="183">
        <f aca="true" t="shared" si="18" ref="P29:P46">E29+K29</f>
        <v>46461.153269999995</v>
      </c>
      <c r="Q29" s="183">
        <f aca="true" t="shared" si="19" ref="Q29:Q51">P29-O29</f>
        <v>-27241.820560000007</v>
      </c>
      <c r="R29" s="220">
        <f t="shared" si="9"/>
        <v>0.630383698996532</v>
      </c>
      <c r="S29" s="53"/>
      <c r="T29" s="53"/>
    </row>
    <row r="30" spans="1:20" s="54" customFormat="1" ht="27" customHeight="1">
      <c r="A30" s="68" t="s">
        <v>104</v>
      </c>
      <c r="B30" s="163" t="s">
        <v>41</v>
      </c>
      <c r="C30" s="180">
        <v>296638.33256</v>
      </c>
      <c r="D30" s="181">
        <v>236704.35594</v>
      </c>
      <c r="E30" s="180">
        <v>188560.56749000002</v>
      </c>
      <c r="F30" s="181">
        <f t="shared" si="5"/>
        <v>-48143.78844999999</v>
      </c>
      <c r="G30" s="219">
        <f t="shared" si="6"/>
        <v>0.7966079320390559</v>
      </c>
      <c r="H30" s="181">
        <f t="shared" si="16"/>
        <v>-108077.76507</v>
      </c>
      <c r="I30" s="219">
        <f t="shared" si="7"/>
        <v>0.6356581290850551</v>
      </c>
      <c r="J30" s="181">
        <v>13921.36103</v>
      </c>
      <c r="K30" s="181">
        <v>4231.54627</v>
      </c>
      <c r="L30" s="181">
        <f aca="true" t="shared" si="20" ref="L30:L40">K30-J30</f>
        <v>-9689.814760000001</v>
      </c>
      <c r="M30" s="219">
        <f t="shared" si="8"/>
        <v>0.3039606731612792</v>
      </c>
      <c r="N30" s="181" t="e">
        <f>#REF!+#REF!</f>
        <v>#REF!</v>
      </c>
      <c r="O30" s="181">
        <f t="shared" si="17"/>
        <v>310559.69359000004</v>
      </c>
      <c r="P30" s="181">
        <f t="shared" si="18"/>
        <v>192792.11376</v>
      </c>
      <c r="Q30" s="181">
        <f t="shared" si="19"/>
        <v>-117767.57983000003</v>
      </c>
      <c r="R30" s="219">
        <f t="shared" si="9"/>
        <v>0.6207892322772689</v>
      </c>
      <c r="S30" s="53"/>
      <c r="T30" s="53"/>
    </row>
    <row r="31" spans="1:20" s="54" customFormat="1" ht="32.25" customHeight="1">
      <c r="A31" s="69" t="s">
        <v>105</v>
      </c>
      <c r="B31" s="163" t="s">
        <v>43</v>
      </c>
      <c r="C31" s="180">
        <v>129948.07394</v>
      </c>
      <c r="D31" s="181">
        <v>98325.02077</v>
      </c>
      <c r="E31" s="180">
        <v>81727.52279999999</v>
      </c>
      <c r="F31" s="181">
        <f t="shared" si="5"/>
        <v>-16597.49797000001</v>
      </c>
      <c r="G31" s="219">
        <f t="shared" si="6"/>
        <v>0.8311976154185153</v>
      </c>
      <c r="H31" s="181">
        <f t="shared" si="16"/>
        <v>-48220.55114000001</v>
      </c>
      <c r="I31" s="219">
        <f t="shared" si="7"/>
        <v>0.6289244643805606</v>
      </c>
      <c r="J31" s="181">
        <v>4119.3216600000005</v>
      </c>
      <c r="K31" s="181">
        <v>94.26474</v>
      </c>
      <c r="L31" s="181">
        <f t="shared" si="20"/>
        <v>-4025.0569200000004</v>
      </c>
      <c r="M31" s="219">
        <f t="shared" si="8"/>
        <v>0.0228835589401387</v>
      </c>
      <c r="N31" s="181" t="e">
        <f>#REF!+#REF!</f>
        <v>#REF!</v>
      </c>
      <c r="O31" s="181">
        <f t="shared" si="17"/>
        <v>134067.3956</v>
      </c>
      <c r="P31" s="181">
        <f t="shared" si="18"/>
        <v>81821.78753999999</v>
      </c>
      <c r="Q31" s="181">
        <f t="shared" si="19"/>
        <v>-52245.60806</v>
      </c>
      <c r="R31" s="219">
        <f t="shared" si="9"/>
        <v>0.6103034013140776</v>
      </c>
      <c r="S31" s="53"/>
      <c r="T31" s="53"/>
    </row>
    <row r="32" spans="1:20" s="54" customFormat="1" ht="34.5" customHeight="1">
      <c r="A32" s="69" t="s">
        <v>106</v>
      </c>
      <c r="B32" s="163" t="s">
        <v>40</v>
      </c>
      <c r="C32" s="180">
        <v>684663.7013600001</v>
      </c>
      <c r="D32" s="181">
        <v>592456.2963600002</v>
      </c>
      <c r="E32" s="180">
        <v>370568.79828</v>
      </c>
      <c r="F32" s="181">
        <f t="shared" si="5"/>
        <v>-221887.49808000016</v>
      </c>
      <c r="G32" s="219">
        <f t="shared" si="6"/>
        <v>0.6254787071329014</v>
      </c>
      <c r="H32" s="181">
        <f t="shared" si="16"/>
        <v>-314094.9030800001</v>
      </c>
      <c r="I32" s="219">
        <f t="shared" si="7"/>
        <v>0.5412420689805969</v>
      </c>
      <c r="J32" s="181">
        <v>127686.11843</v>
      </c>
      <c r="K32" s="181">
        <v>18912.21634</v>
      </c>
      <c r="L32" s="181">
        <f t="shared" si="20"/>
        <v>-108773.90209</v>
      </c>
      <c r="M32" s="219">
        <f t="shared" si="8"/>
        <v>0.14811489747311915</v>
      </c>
      <c r="N32" s="181" t="e">
        <f>#REF!+#REF!</f>
        <v>#REF!</v>
      </c>
      <c r="O32" s="181">
        <f t="shared" si="17"/>
        <v>812349.8197900001</v>
      </c>
      <c r="P32" s="181">
        <f t="shared" si="18"/>
        <v>389481.01462</v>
      </c>
      <c r="Q32" s="181">
        <f t="shared" si="19"/>
        <v>-422868.8051700001</v>
      </c>
      <c r="R32" s="219">
        <f t="shared" si="9"/>
        <v>0.47944986892553804</v>
      </c>
      <c r="S32" s="53"/>
      <c r="T32" s="53"/>
    </row>
    <row r="33" spans="1:20" s="90" customFormat="1" ht="25.5" customHeight="1">
      <c r="A33" s="87" t="s">
        <v>107</v>
      </c>
      <c r="B33" s="164" t="s">
        <v>120</v>
      </c>
      <c r="C33" s="180">
        <f>SUM(C34:C39)</f>
        <v>196766.64063999997</v>
      </c>
      <c r="D33" s="181">
        <f>SUM(D34:D39)</f>
        <v>171161.98364</v>
      </c>
      <c r="E33" s="180">
        <f>SUM(E34:E39)</f>
        <v>116892.26843999999</v>
      </c>
      <c r="F33" s="180">
        <f t="shared" si="5"/>
        <v>-54269.715200000006</v>
      </c>
      <c r="G33" s="219">
        <f t="shared" si="6"/>
        <v>0.6829335928114509</v>
      </c>
      <c r="H33" s="180">
        <f t="shared" si="16"/>
        <v>-79874.37219999998</v>
      </c>
      <c r="I33" s="219">
        <f t="shared" si="7"/>
        <v>0.5940654780698501</v>
      </c>
      <c r="J33" s="181">
        <f>SUM(J34:J39)</f>
        <v>690824.64511</v>
      </c>
      <c r="K33" s="181">
        <f>SUM(K34:K39)</f>
        <v>83619.0776</v>
      </c>
      <c r="L33" s="181">
        <f t="shared" si="20"/>
        <v>-607205.5675100001</v>
      </c>
      <c r="M33" s="219">
        <f t="shared" si="8"/>
        <v>0.12104240662503483</v>
      </c>
      <c r="N33" s="180" t="e">
        <f>#REF!+#REF!</f>
        <v>#REF!</v>
      </c>
      <c r="O33" s="180">
        <f t="shared" si="17"/>
        <v>887591.28575</v>
      </c>
      <c r="P33" s="180">
        <f t="shared" si="18"/>
        <v>200511.34603999997</v>
      </c>
      <c r="Q33" s="180">
        <f t="shared" si="19"/>
        <v>-687079.9397100001</v>
      </c>
      <c r="R33" s="219">
        <f t="shared" si="9"/>
        <v>0.22590504127197597</v>
      </c>
      <c r="S33" s="88"/>
      <c r="T33" s="89"/>
    </row>
    <row r="34" spans="1:20" s="54" customFormat="1" ht="48" customHeight="1">
      <c r="A34" s="226" t="s">
        <v>132</v>
      </c>
      <c r="B34" s="165" t="s">
        <v>133</v>
      </c>
      <c r="C34" s="182">
        <v>10814.626</v>
      </c>
      <c r="D34" s="183">
        <v>10300.626</v>
      </c>
      <c r="E34" s="182">
        <v>276.826</v>
      </c>
      <c r="F34" s="183">
        <f t="shared" si="5"/>
        <v>-10023.8</v>
      </c>
      <c r="G34" s="220">
        <f t="shared" si="6"/>
        <v>0.02687467732543634</v>
      </c>
      <c r="H34" s="183">
        <f aca="true" t="shared" si="21" ref="H34:H43">E34-C34</f>
        <v>-10537.8</v>
      </c>
      <c r="I34" s="220">
        <f t="shared" si="7"/>
        <v>0.025597371559589764</v>
      </c>
      <c r="J34" s="183">
        <v>1417.42627</v>
      </c>
      <c r="K34" s="183">
        <v>158.028</v>
      </c>
      <c r="L34" s="183">
        <f t="shared" si="20"/>
        <v>-1259.39827</v>
      </c>
      <c r="M34" s="220">
        <f t="shared" si="8"/>
        <v>0.11148939690527959</v>
      </c>
      <c r="N34" s="183"/>
      <c r="O34" s="183">
        <f t="shared" si="17"/>
        <v>12232.05227</v>
      </c>
      <c r="P34" s="183">
        <f t="shared" si="18"/>
        <v>434.85400000000004</v>
      </c>
      <c r="Q34" s="183">
        <f t="shared" si="19"/>
        <v>-11797.19827</v>
      </c>
      <c r="R34" s="220">
        <f t="shared" si="9"/>
        <v>0.03555037130331033</v>
      </c>
      <c r="S34" s="55"/>
      <c r="T34" s="53"/>
    </row>
    <row r="35" spans="1:20" s="54" customFormat="1" ht="24" customHeight="1">
      <c r="A35" s="226" t="s">
        <v>111</v>
      </c>
      <c r="B35" s="165" t="s">
        <v>121</v>
      </c>
      <c r="C35" s="182">
        <v>13141.769</v>
      </c>
      <c r="D35" s="183">
        <v>3044.449</v>
      </c>
      <c r="E35" s="182">
        <v>458.3627</v>
      </c>
      <c r="F35" s="183">
        <f>E35-D35</f>
        <v>-2586.0863</v>
      </c>
      <c r="G35" s="220">
        <f>_xlfn.IFERROR(E35/D35,"")</f>
        <v>0.1505568659550546</v>
      </c>
      <c r="H35" s="183">
        <f>E35-C35</f>
        <v>-12683.4063</v>
      </c>
      <c r="I35" s="220">
        <f>_xlfn.IFERROR(E35/C35,"")</f>
        <v>0.034878310522731</v>
      </c>
      <c r="J35" s="183">
        <v>82513.68173000001</v>
      </c>
      <c r="K35" s="183">
        <v>10947.16508</v>
      </c>
      <c r="L35" s="183">
        <f t="shared" si="20"/>
        <v>-71566.51665</v>
      </c>
      <c r="M35" s="220">
        <f t="shared" si="8"/>
        <v>0.13267090802978765</v>
      </c>
      <c r="N35" s="183"/>
      <c r="O35" s="183">
        <f>C36+J35</f>
        <v>247672.07237</v>
      </c>
      <c r="P35" s="183">
        <f>E36+K35</f>
        <v>124739.65946</v>
      </c>
      <c r="Q35" s="183">
        <f t="shared" si="19"/>
        <v>-122932.41291000001</v>
      </c>
      <c r="R35" s="220">
        <f t="shared" si="9"/>
        <v>0.5036484665644904</v>
      </c>
      <c r="S35" s="55"/>
      <c r="T35" s="53"/>
    </row>
    <row r="36" spans="1:20" s="54" customFormat="1" ht="50.25" customHeight="1">
      <c r="A36" s="226" t="s">
        <v>112</v>
      </c>
      <c r="B36" s="165" t="s">
        <v>122</v>
      </c>
      <c r="C36" s="182">
        <v>165158.39064</v>
      </c>
      <c r="D36" s="183">
        <v>151285.10364</v>
      </c>
      <c r="E36" s="182">
        <v>113792.49437999999</v>
      </c>
      <c r="F36" s="183">
        <f>E36-D36</f>
        <v>-37492.60926</v>
      </c>
      <c r="G36" s="220">
        <f>_xlfn.IFERROR(E36/D36,"")</f>
        <v>0.7521724984290727</v>
      </c>
      <c r="H36" s="183">
        <f>E36-C36</f>
        <v>-51365.89626000001</v>
      </c>
      <c r="I36" s="220">
        <f>_xlfn.IFERROR(E36/C36,"")</f>
        <v>0.688990089689336</v>
      </c>
      <c r="J36" s="183">
        <v>391380.01817</v>
      </c>
      <c r="K36" s="183">
        <v>1509.00265</v>
      </c>
      <c r="L36" s="183">
        <f t="shared" si="20"/>
        <v>-389871.01552</v>
      </c>
      <c r="M36" s="220">
        <f t="shared" si="8"/>
        <v>0.0038555945115842597</v>
      </c>
      <c r="N36" s="183"/>
      <c r="O36" s="183">
        <f>C37+J36</f>
        <v>391998.41817</v>
      </c>
      <c r="P36" s="183">
        <f>E37+K36</f>
        <v>1807.4454799999999</v>
      </c>
      <c r="Q36" s="183">
        <f t="shared" si="19"/>
        <v>-390190.97269</v>
      </c>
      <c r="R36" s="220">
        <f t="shared" si="9"/>
        <v>0.00461084891219167</v>
      </c>
      <c r="S36" s="55"/>
      <c r="T36" s="53"/>
    </row>
    <row r="37" spans="1:20" s="54" customFormat="1" ht="50.25" customHeight="1">
      <c r="A37" s="226" t="s">
        <v>190</v>
      </c>
      <c r="B37" s="165" t="s">
        <v>189</v>
      </c>
      <c r="C37" s="182">
        <v>618.4</v>
      </c>
      <c r="D37" s="183">
        <v>591.3</v>
      </c>
      <c r="E37" s="182">
        <v>298.44283</v>
      </c>
      <c r="F37" s="183">
        <f>E37-D37</f>
        <v>-292.85716999999994</v>
      </c>
      <c r="G37" s="220">
        <f>_xlfn.IFERROR(E37/D37,"")</f>
        <v>0.5047232031117876</v>
      </c>
      <c r="H37" s="183">
        <f>E37-C37</f>
        <v>-319.95716999999996</v>
      </c>
      <c r="I37" s="220">
        <f>_xlfn.IFERROR(E37/C37,"")</f>
        <v>0.4826048350582148</v>
      </c>
      <c r="J37" s="183">
        <v>0</v>
      </c>
      <c r="K37" s="265">
        <v>0</v>
      </c>
      <c r="L37" s="183">
        <f t="shared" si="20"/>
        <v>0</v>
      </c>
      <c r="M37" s="220">
        <f t="shared" si="8"/>
      </c>
      <c r="N37" s="183"/>
      <c r="O37" s="183">
        <f>C38+J37</f>
        <v>6876.455</v>
      </c>
      <c r="P37" s="183">
        <f>E38+K37</f>
        <v>2022.57561</v>
      </c>
      <c r="Q37" s="183">
        <f t="shared" si="19"/>
        <v>-4853.87939</v>
      </c>
      <c r="R37" s="220">
        <f t="shared" si="9"/>
        <v>0.2941305672763074</v>
      </c>
      <c r="S37" s="55"/>
      <c r="T37" s="53"/>
    </row>
    <row r="38" spans="1:20" s="54" customFormat="1" ht="50.25" customHeight="1">
      <c r="A38" s="226" t="s">
        <v>110</v>
      </c>
      <c r="B38" s="165" t="s">
        <v>123</v>
      </c>
      <c r="C38" s="182">
        <v>6876.455</v>
      </c>
      <c r="D38" s="183">
        <v>5783.505</v>
      </c>
      <c r="E38" s="182">
        <v>2022.57561</v>
      </c>
      <c r="F38" s="183">
        <f>E38-D38</f>
        <v>-3760.9293900000002</v>
      </c>
      <c r="G38" s="220">
        <f>_xlfn.IFERROR(E38/D38,"")</f>
        <v>0.34971450876242005</v>
      </c>
      <c r="H38" s="183">
        <f>E38-C38</f>
        <v>-4853.87939</v>
      </c>
      <c r="I38" s="220">
        <f>_xlfn.IFERROR(E38/C38,"")</f>
        <v>0.2941305672763074</v>
      </c>
      <c r="J38" s="183">
        <v>209967.13253</v>
      </c>
      <c r="K38" s="183">
        <v>68501.22176</v>
      </c>
      <c r="L38" s="183">
        <f t="shared" si="20"/>
        <v>-141465.91077000002</v>
      </c>
      <c r="M38" s="220">
        <f t="shared" si="8"/>
        <v>0.3262473556436867</v>
      </c>
      <c r="N38" s="183"/>
      <c r="O38" s="183">
        <f>C39+J38</f>
        <v>210124.13253</v>
      </c>
      <c r="P38" s="183">
        <f>E39+K38</f>
        <v>68544.78868</v>
      </c>
      <c r="Q38" s="183">
        <f t="shared" si="19"/>
        <v>-141579.34385</v>
      </c>
      <c r="R38" s="220">
        <f t="shared" si="9"/>
        <v>0.3262109299616676</v>
      </c>
      <c r="S38" s="55"/>
      <c r="T38" s="53"/>
    </row>
    <row r="39" spans="1:20" s="54" customFormat="1" ht="96" customHeight="1">
      <c r="A39" s="226" t="s">
        <v>163</v>
      </c>
      <c r="B39" s="165" t="s">
        <v>164</v>
      </c>
      <c r="C39" s="182">
        <v>157</v>
      </c>
      <c r="D39" s="183">
        <v>157</v>
      </c>
      <c r="E39" s="182">
        <v>43.566919999999996</v>
      </c>
      <c r="F39" s="183">
        <f>E39-D39</f>
        <v>-113.43308</v>
      </c>
      <c r="G39" s="220">
        <f>_xlfn.IFERROR(E39/D39,"")</f>
        <v>0.27749630573248407</v>
      </c>
      <c r="H39" s="183">
        <f>E39-C39</f>
        <v>-113.43308</v>
      </c>
      <c r="I39" s="220">
        <f>_xlfn.IFERROR(E39/C39,"")</f>
        <v>0.27749630573248407</v>
      </c>
      <c r="J39" s="183">
        <v>5546.38641</v>
      </c>
      <c r="K39" s="183">
        <v>2503.66011</v>
      </c>
      <c r="L39" s="183">
        <f t="shared" si="20"/>
        <v>-3042.7263000000003</v>
      </c>
      <c r="M39" s="220">
        <f t="shared" si="8"/>
        <v>0.45140383754834706</v>
      </c>
      <c r="N39" s="183"/>
      <c r="O39" s="183" t="e">
        <f>#REF!+J39</f>
        <v>#REF!</v>
      </c>
      <c r="P39" s="183" t="e">
        <f>#REF!+K39</f>
        <v>#REF!</v>
      </c>
      <c r="Q39" s="183" t="e">
        <f t="shared" si="19"/>
        <v>#REF!</v>
      </c>
      <c r="R39" s="220">
        <f t="shared" si="9"/>
      </c>
      <c r="S39" s="55"/>
      <c r="T39" s="53"/>
    </row>
    <row r="40" spans="1:20" s="90" customFormat="1" ht="36.75" customHeight="1">
      <c r="A40" s="87" t="s">
        <v>108</v>
      </c>
      <c r="B40" s="164" t="s">
        <v>124</v>
      </c>
      <c r="C40" s="180">
        <f>C41+C42+C43+C44+C45+C46</f>
        <v>229679.42631</v>
      </c>
      <c r="D40" s="180">
        <f>D41+D42+D43+D44+D45+D46</f>
        <v>211905.64274000004</v>
      </c>
      <c r="E40" s="180">
        <f>E41+E42+E43+E44+E45+E46</f>
        <v>59993.16083000001</v>
      </c>
      <c r="F40" s="180">
        <f t="shared" si="5"/>
        <v>-151912.48191000003</v>
      </c>
      <c r="G40" s="219">
        <f t="shared" si="6"/>
        <v>0.28311261585237385</v>
      </c>
      <c r="H40" s="180">
        <f t="shared" si="21"/>
        <v>-169686.26548</v>
      </c>
      <c r="I40" s="219">
        <f t="shared" si="7"/>
        <v>0.2612038953329098</v>
      </c>
      <c r="J40" s="181">
        <f>J41+J42+J43+J44+J45+J46</f>
        <v>29295.741289999998</v>
      </c>
      <c r="K40" s="181">
        <f>K41+K42+K43+K44+K45+K46</f>
        <v>14290.71794</v>
      </c>
      <c r="L40" s="181">
        <f t="shared" si="20"/>
        <v>-15005.023349999998</v>
      </c>
      <c r="M40" s="219">
        <f t="shared" si="8"/>
        <v>0.4878087158995389</v>
      </c>
      <c r="N40" s="180"/>
      <c r="O40" s="180">
        <f t="shared" si="17"/>
        <v>258975.16760000002</v>
      </c>
      <c r="P40" s="180">
        <f t="shared" si="18"/>
        <v>74283.87877000001</v>
      </c>
      <c r="Q40" s="180">
        <f t="shared" si="19"/>
        <v>-184691.28883</v>
      </c>
      <c r="R40" s="219">
        <f t="shared" si="9"/>
        <v>0.2868378441779219</v>
      </c>
      <c r="S40" s="88"/>
      <c r="T40" s="89"/>
    </row>
    <row r="41" spans="1:20" s="54" customFormat="1" ht="40.5" customHeight="1">
      <c r="A41" s="226" t="s">
        <v>109</v>
      </c>
      <c r="B41" s="165" t="s">
        <v>125</v>
      </c>
      <c r="C41" s="215">
        <v>61383.48868</v>
      </c>
      <c r="D41" s="183">
        <v>52700.66268</v>
      </c>
      <c r="E41" s="215">
        <v>39566.91515</v>
      </c>
      <c r="F41" s="215">
        <f t="shared" si="5"/>
        <v>-13133.74753</v>
      </c>
      <c r="G41" s="220">
        <f t="shared" si="6"/>
        <v>0.7507859130776304</v>
      </c>
      <c r="H41" s="215">
        <f t="shared" si="21"/>
        <v>-21816.57353</v>
      </c>
      <c r="I41" s="220">
        <f t="shared" si="7"/>
        <v>0.6445856369661132</v>
      </c>
      <c r="J41" s="183">
        <v>7124.94415</v>
      </c>
      <c r="K41" s="183">
        <v>5986.91341</v>
      </c>
      <c r="L41" s="183">
        <f aca="true" t="shared" si="22" ref="L41:L46">K41-J41</f>
        <v>-1138.0307400000002</v>
      </c>
      <c r="M41" s="220">
        <f t="shared" si="8"/>
        <v>0.8402751353496575</v>
      </c>
      <c r="N41" s="215"/>
      <c r="O41" s="215">
        <f t="shared" si="17"/>
        <v>68508.43283</v>
      </c>
      <c r="P41" s="215">
        <f t="shared" si="18"/>
        <v>45553.82856</v>
      </c>
      <c r="Q41" s="215">
        <f t="shared" si="19"/>
        <v>-22954.604270000003</v>
      </c>
      <c r="R41" s="220">
        <f t="shared" si="9"/>
        <v>0.6649375365663287</v>
      </c>
      <c r="S41" s="55"/>
      <c r="T41" s="53"/>
    </row>
    <row r="42" spans="1:20" s="54" customFormat="1" ht="33" customHeight="1">
      <c r="A42" s="226" t="s">
        <v>126</v>
      </c>
      <c r="B42" s="165" t="s">
        <v>130</v>
      </c>
      <c r="C42" s="215">
        <v>27826.01238</v>
      </c>
      <c r="D42" s="183">
        <v>26087.41238</v>
      </c>
      <c r="E42" s="215">
        <v>18162.59084</v>
      </c>
      <c r="F42" s="215">
        <f t="shared" si="5"/>
        <v>-7924.821540000001</v>
      </c>
      <c r="G42" s="220">
        <f t="shared" si="6"/>
        <v>0.6962204827154267</v>
      </c>
      <c r="H42" s="215">
        <f t="shared" si="21"/>
        <v>-9663.42154</v>
      </c>
      <c r="I42" s="220">
        <f t="shared" si="7"/>
        <v>0.6527198576629111</v>
      </c>
      <c r="J42" s="183">
        <v>12806.03888</v>
      </c>
      <c r="K42" s="183">
        <v>7627.84263</v>
      </c>
      <c r="L42" s="183">
        <f t="shared" si="22"/>
        <v>-5178.19625</v>
      </c>
      <c r="M42" s="220">
        <f t="shared" si="8"/>
        <v>0.5956441879864104</v>
      </c>
      <c r="N42" s="215"/>
      <c r="O42" s="215">
        <f t="shared" si="17"/>
        <v>40632.05126</v>
      </c>
      <c r="P42" s="215">
        <f t="shared" si="18"/>
        <v>25790.43347</v>
      </c>
      <c r="Q42" s="215">
        <f t="shared" si="19"/>
        <v>-14841.61779</v>
      </c>
      <c r="R42" s="220">
        <f t="shared" si="9"/>
        <v>0.6347312692871415</v>
      </c>
      <c r="S42" s="55"/>
      <c r="T42" s="53"/>
    </row>
    <row r="43" spans="1:20" s="54" customFormat="1" ht="44.25" customHeight="1">
      <c r="A43" s="226" t="s">
        <v>127</v>
      </c>
      <c r="B43" s="165" t="s">
        <v>131</v>
      </c>
      <c r="C43" s="215">
        <v>2165.455</v>
      </c>
      <c r="D43" s="183">
        <v>2155.455</v>
      </c>
      <c r="E43" s="215">
        <v>1191.22625</v>
      </c>
      <c r="F43" s="215">
        <f t="shared" si="5"/>
        <v>-964.22875</v>
      </c>
      <c r="G43" s="220">
        <f t="shared" si="6"/>
        <v>0.5526565156776644</v>
      </c>
      <c r="H43" s="215">
        <f t="shared" si="21"/>
        <v>-974.22875</v>
      </c>
      <c r="I43" s="220">
        <f t="shared" si="7"/>
        <v>0.5501043660570181</v>
      </c>
      <c r="J43" s="183">
        <v>7749.46126</v>
      </c>
      <c r="K43" s="183">
        <v>337.94278</v>
      </c>
      <c r="L43" s="183">
        <f t="shared" si="22"/>
        <v>-7411.51848</v>
      </c>
      <c r="M43" s="220">
        <f t="shared" si="8"/>
        <v>0.04360855144141982</v>
      </c>
      <c r="N43" s="215"/>
      <c r="O43" s="215">
        <f t="shared" si="17"/>
        <v>9914.91626</v>
      </c>
      <c r="P43" s="215">
        <f t="shared" si="18"/>
        <v>1529.16903</v>
      </c>
      <c r="Q43" s="215">
        <f t="shared" si="19"/>
        <v>-8385.74723</v>
      </c>
      <c r="R43" s="220">
        <f t="shared" si="9"/>
        <v>0.15422914222373876</v>
      </c>
      <c r="S43" s="55"/>
      <c r="T43" s="53"/>
    </row>
    <row r="44" spans="1:20" s="54" customFormat="1" ht="24.75" customHeight="1">
      <c r="A44" s="226" t="s">
        <v>128</v>
      </c>
      <c r="B44" s="165" t="s">
        <v>42</v>
      </c>
      <c r="C44" s="215">
        <v>2076.5</v>
      </c>
      <c r="D44" s="183">
        <v>1757.5</v>
      </c>
      <c r="E44" s="215">
        <v>1072.42859</v>
      </c>
      <c r="F44" s="215">
        <f t="shared" si="5"/>
        <v>-685.07141</v>
      </c>
      <c r="G44" s="220">
        <f t="shared" si="6"/>
        <v>0.6102011891891892</v>
      </c>
      <c r="H44" s="215">
        <f aca="true" t="shared" si="23" ref="H44:H55">E44-C44</f>
        <v>-1004.07141</v>
      </c>
      <c r="I44" s="220">
        <f t="shared" si="7"/>
        <v>0.5164597110522514</v>
      </c>
      <c r="J44" s="183">
        <v>0</v>
      </c>
      <c r="K44" s="183">
        <v>0</v>
      </c>
      <c r="L44" s="183">
        <f t="shared" si="22"/>
        <v>0</v>
      </c>
      <c r="M44" s="220">
        <f t="shared" si="8"/>
      </c>
      <c r="N44" s="215"/>
      <c r="O44" s="215">
        <f t="shared" si="17"/>
        <v>2076.5</v>
      </c>
      <c r="P44" s="215">
        <f t="shared" si="18"/>
        <v>1072.42859</v>
      </c>
      <c r="Q44" s="215">
        <f t="shared" si="19"/>
        <v>-1004.07141</v>
      </c>
      <c r="R44" s="220">
        <f t="shared" si="9"/>
        <v>0.5164597110522514</v>
      </c>
      <c r="S44" s="55"/>
      <c r="T44" s="53"/>
    </row>
    <row r="45" spans="1:20" s="54" customFormat="1" ht="25.5" customHeight="1">
      <c r="A45" s="226" t="s">
        <v>165</v>
      </c>
      <c r="B45" s="165" t="s">
        <v>166</v>
      </c>
      <c r="C45" s="215">
        <v>8080</v>
      </c>
      <c r="D45" s="183">
        <v>4176.1</v>
      </c>
      <c r="E45" s="215">
        <v>0</v>
      </c>
      <c r="F45" s="215">
        <f>E45-D45</f>
        <v>-4176.1</v>
      </c>
      <c r="G45" s="220">
        <f t="shared" si="6"/>
        <v>0</v>
      </c>
      <c r="H45" s="215">
        <f t="shared" si="23"/>
        <v>-8080</v>
      </c>
      <c r="I45" s="220">
        <f t="shared" si="7"/>
        <v>0</v>
      </c>
      <c r="J45" s="183">
        <v>0</v>
      </c>
      <c r="K45" s="183">
        <v>0</v>
      </c>
      <c r="L45" s="183">
        <f t="shared" si="22"/>
        <v>0</v>
      </c>
      <c r="M45" s="220">
        <f t="shared" si="8"/>
      </c>
      <c r="N45" s="215"/>
      <c r="O45" s="215">
        <f t="shared" si="17"/>
        <v>8080</v>
      </c>
      <c r="P45" s="215">
        <f t="shared" si="18"/>
        <v>0</v>
      </c>
      <c r="Q45" s="215">
        <f t="shared" si="19"/>
        <v>-8080</v>
      </c>
      <c r="R45" s="220">
        <f t="shared" si="9"/>
        <v>0</v>
      </c>
      <c r="S45" s="55"/>
      <c r="T45" s="53"/>
    </row>
    <row r="46" spans="1:20" s="54" customFormat="1" ht="24.75" customHeight="1">
      <c r="A46" s="226" t="s">
        <v>129</v>
      </c>
      <c r="B46" s="165" t="s">
        <v>54</v>
      </c>
      <c r="C46" s="215">
        <v>128147.97025</v>
      </c>
      <c r="D46" s="183">
        <v>125028.51268000001</v>
      </c>
      <c r="E46" s="215">
        <v>0</v>
      </c>
      <c r="F46" s="215">
        <f>E46-D46</f>
        <v>-125028.51268000001</v>
      </c>
      <c r="G46" s="220">
        <f t="shared" si="6"/>
        <v>0</v>
      </c>
      <c r="H46" s="215">
        <f t="shared" si="23"/>
        <v>-128147.97025</v>
      </c>
      <c r="I46" s="220">
        <f t="shared" si="7"/>
        <v>0</v>
      </c>
      <c r="J46" s="183">
        <v>1615.297</v>
      </c>
      <c r="K46" s="183">
        <v>338.01912</v>
      </c>
      <c r="L46" s="183">
        <f t="shared" si="22"/>
        <v>-1277.27788</v>
      </c>
      <c r="M46" s="220">
        <f t="shared" si="8"/>
        <v>0.20926128136187958</v>
      </c>
      <c r="N46" s="215"/>
      <c r="O46" s="215">
        <f t="shared" si="17"/>
        <v>129763.26725</v>
      </c>
      <c r="P46" s="215">
        <f t="shared" si="18"/>
        <v>338.01912</v>
      </c>
      <c r="Q46" s="215">
        <f t="shared" si="19"/>
        <v>-129425.24813</v>
      </c>
      <c r="R46" s="220">
        <f t="shared" si="9"/>
        <v>0.0026048906378781087</v>
      </c>
      <c r="S46" s="53"/>
      <c r="T46" s="53"/>
    </row>
    <row r="47" spans="1:20" s="12" customFormat="1" ht="20.25" customHeight="1">
      <c r="A47" s="70" t="s">
        <v>26</v>
      </c>
      <c r="B47" s="166" t="s">
        <v>27</v>
      </c>
      <c r="C47" s="185">
        <f>C6+C10+C11+C12+C30+C31+C32+C33+C40</f>
        <v>9033905.113249999</v>
      </c>
      <c r="D47" s="185">
        <f>D6+D10+D11+D12+D30+D31+D32+D33+D40</f>
        <v>7148619.2917100005</v>
      </c>
      <c r="E47" s="185">
        <f>E6+E10+E11+E12+E30+E31+E32+E33+E40</f>
        <v>5835164.355580001</v>
      </c>
      <c r="F47" s="185">
        <f t="shared" si="5"/>
        <v>-1313454.9361299993</v>
      </c>
      <c r="G47" s="223">
        <f>_xlfn.IFERROR(E47/D47,"")</f>
        <v>0.816264528500886</v>
      </c>
      <c r="H47" s="185">
        <f t="shared" si="23"/>
        <v>-3198740.7576699974</v>
      </c>
      <c r="I47" s="223">
        <f>_xlfn.IFERROR(E47/C47,"")</f>
        <v>0.6459182692788731</v>
      </c>
      <c r="J47" s="185">
        <f>J6+J10+J11+J12+J30+J31+J32+J33+J40</f>
        <v>1402800.3650800001</v>
      </c>
      <c r="K47" s="185">
        <f>K6+K10+K11+K12+K30+K31+K32+K33+K40</f>
        <v>337364.48944000003</v>
      </c>
      <c r="L47" s="185">
        <f>L6+L10+L11+L12+L30+L31+L32+L33+L40</f>
        <v>-1065435.87564</v>
      </c>
      <c r="M47" s="223">
        <f>_xlfn.IFERROR(K47/J47,"")</f>
        <v>0.24049358542957075</v>
      </c>
      <c r="N47" s="185" t="e">
        <f>#REF!+#REF!</f>
        <v>#REF!</v>
      </c>
      <c r="O47" s="185">
        <f aca="true" t="shared" si="24" ref="O47:O61">C47+J47</f>
        <v>10436705.47833</v>
      </c>
      <c r="P47" s="185">
        <f>E47+K47</f>
        <v>6172528.845020001</v>
      </c>
      <c r="Q47" s="185">
        <f t="shared" si="19"/>
        <v>-4264176.633309999</v>
      </c>
      <c r="R47" s="223">
        <f>_xlfn.IFERROR(P47/O47,"")</f>
        <v>0.5914250294631943</v>
      </c>
      <c r="S47" s="26"/>
      <c r="T47" s="27"/>
    </row>
    <row r="48" spans="1:20" s="54" customFormat="1" ht="24" customHeight="1">
      <c r="A48" s="71" t="s">
        <v>145</v>
      </c>
      <c r="B48" s="160" t="s">
        <v>113</v>
      </c>
      <c r="C48" s="182">
        <v>2673.6</v>
      </c>
      <c r="D48" s="183">
        <v>2006.1</v>
      </c>
      <c r="E48" s="182">
        <v>371.5</v>
      </c>
      <c r="F48" s="183">
        <f t="shared" si="5"/>
        <v>-1634.6</v>
      </c>
      <c r="G48" s="262">
        <f>_xlfn.IFERROR(E48/D48,"")</f>
        <v>0.1851851851851852</v>
      </c>
      <c r="H48" s="183">
        <f t="shared" si="23"/>
        <v>-2302.1</v>
      </c>
      <c r="I48" s="262">
        <f>_xlfn.IFERROR(E48/C48,"")</f>
        <v>0.13895122681029323</v>
      </c>
      <c r="J48" s="183">
        <v>0</v>
      </c>
      <c r="K48" s="183">
        <v>0</v>
      </c>
      <c r="L48" s="183">
        <f>K48-J48</f>
        <v>0</v>
      </c>
      <c r="M48" s="262">
        <f>_xlfn.IFERROR(K48/J48,"")</f>
      </c>
      <c r="N48" s="183" t="e">
        <f>#REF!+#REF!</f>
        <v>#REF!</v>
      </c>
      <c r="O48" s="183">
        <f>C48+J48</f>
        <v>2673.6</v>
      </c>
      <c r="P48" s="183">
        <f>E48+K48</f>
        <v>371.5</v>
      </c>
      <c r="Q48" s="183">
        <f t="shared" si="19"/>
        <v>-2302.1</v>
      </c>
      <c r="R48" s="262">
        <f>_xlfn.IFERROR(P48/O48,"")</f>
        <v>0.13895122681029323</v>
      </c>
      <c r="S48" s="53"/>
      <c r="T48" s="53"/>
    </row>
    <row r="49" spans="1:20" s="54" customFormat="1" ht="90.75" customHeight="1">
      <c r="A49" s="71" t="s">
        <v>146</v>
      </c>
      <c r="B49" s="160" t="s">
        <v>147</v>
      </c>
      <c r="C49" s="182">
        <v>120454.95704000001</v>
      </c>
      <c r="D49" s="183">
        <v>119454.95704</v>
      </c>
      <c r="E49" s="182">
        <v>106977.606</v>
      </c>
      <c r="F49" s="183">
        <f t="shared" si="5"/>
        <v>-12477.351039999994</v>
      </c>
      <c r="G49" s="264">
        <f>_xlfn.IFERROR(E49/D49,"")</f>
        <v>0.8955476495142692</v>
      </c>
      <c r="H49" s="183">
        <f t="shared" si="23"/>
        <v>-13477.351040000009</v>
      </c>
      <c r="I49" s="264">
        <f>_xlfn.IFERROR(E49/C49,"")</f>
        <v>0.8881129397146809</v>
      </c>
      <c r="J49" s="183">
        <v>2720</v>
      </c>
      <c r="K49" s="183">
        <v>2420</v>
      </c>
      <c r="L49" s="183">
        <f>K49-J49</f>
        <v>-300</v>
      </c>
      <c r="M49" s="264">
        <f>_xlfn.IFERROR(K49/J49,"")</f>
        <v>0.8897058823529411</v>
      </c>
      <c r="N49" s="183"/>
      <c r="O49" s="183">
        <f>C49+J49</f>
        <v>123174.95704000001</v>
      </c>
      <c r="P49" s="183">
        <f>E49+K49</f>
        <v>109397.606</v>
      </c>
      <c r="Q49" s="183">
        <f t="shared" si="19"/>
        <v>-13777.351040000009</v>
      </c>
      <c r="R49" s="264">
        <f>_xlfn.IFERROR(P49/O49,"")</f>
        <v>0.8881481157283787</v>
      </c>
      <c r="S49" s="53"/>
      <c r="T49" s="53"/>
    </row>
    <row r="50" spans="1:20" s="54" customFormat="1" ht="232.5" customHeight="1" hidden="1">
      <c r="A50" s="71" t="s">
        <v>216</v>
      </c>
      <c r="B50" s="160" t="s">
        <v>217</v>
      </c>
      <c r="C50" s="182"/>
      <c r="D50" s="183"/>
      <c r="E50" s="182"/>
      <c r="F50" s="183">
        <f>E50-D50</f>
        <v>0</v>
      </c>
      <c r="G50" s="264">
        <f>_xlfn.IFERROR(E50/D50,"")</f>
      </c>
      <c r="H50" s="183">
        <f>E50-C50</f>
        <v>0</v>
      </c>
      <c r="I50" s="264">
        <f>_xlfn.IFERROR(E50/C50,"")</f>
      </c>
      <c r="J50" s="183"/>
      <c r="K50" s="183"/>
      <c r="L50" s="183"/>
      <c r="M50" s="264"/>
      <c r="N50" s="183"/>
      <c r="O50" s="183">
        <f>C50+J50</f>
        <v>0</v>
      </c>
      <c r="P50" s="183">
        <f>E50+K50</f>
        <v>0</v>
      </c>
      <c r="Q50" s="183">
        <f>P50-O50</f>
        <v>0</v>
      </c>
      <c r="R50" s="264">
        <f>_xlfn.IFERROR(P50/O50,"")</f>
      </c>
      <c r="S50" s="53"/>
      <c r="T50" s="53"/>
    </row>
    <row r="51" spans="1:18" s="26" customFormat="1" ht="21" customHeight="1">
      <c r="A51" s="72" t="s">
        <v>28</v>
      </c>
      <c r="B51" s="167" t="s">
        <v>114</v>
      </c>
      <c r="C51" s="186">
        <f>C47+C48+C49+C50</f>
        <v>9157033.670289999</v>
      </c>
      <c r="D51" s="186">
        <f>D47+D48+D49+D50</f>
        <v>7270080.34875</v>
      </c>
      <c r="E51" s="186">
        <f>E47+E48+E49+E50</f>
        <v>5942513.461580001</v>
      </c>
      <c r="F51" s="186">
        <f t="shared" si="5"/>
        <v>-1327566.887169999</v>
      </c>
      <c r="G51" s="224">
        <f>_xlfn.IFERROR(E51/D51,"")</f>
        <v>0.8173930928564968</v>
      </c>
      <c r="H51" s="186">
        <f t="shared" si="23"/>
        <v>-3214520.208709998</v>
      </c>
      <c r="I51" s="224">
        <f>_xlfn.IFERROR(E51/C51,"")</f>
        <v>0.6489561658881401</v>
      </c>
      <c r="J51" s="186">
        <f>J47+J48+J49</f>
        <v>1405520.3650800001</v>
      </c>
      <c r="K51" s="186">
        <f>K47+K48+K49</f>
        <v>339784.48944000003</v>
      </c>
      <c r="L51" s="186">
        <f>L47+L48+L49</f>
        <v>-1065735.87564</v>
      </c>
      <c r="M51" s="224">
        <f>_xlfn.IFERROR(K51/J51,"")</f>
        <v>0.24174995815208983</v>
      </c>
      <c r="N51" s="186" t="e">
        <f>#REF!+#REF!</f>
        <v>#REF!</v>
      </c>
      <c r="O51" s="186">
        <f t="shared" si="24"/>
        <v>10562554.03537</v>
      </c>
      <c r="P51" s="186">
        <f>E51+K51</f>
        <v>6282297.9510200005</v>
      </c>
      <c r="Q51" s="186">
        <f t="shared" si="19"/>
        <v>-4280256.084349999</v>
      </c>
      <c r="R51" s="224">
        <f>_xlfn.IFERROR(P51/O51,"")</f>
        <v>0.5947707277977429</v>
      </c>
    </row>
    <row r="52" spans="1:18" s="118" customFormat="1" ht="21" customHeight="1">
      <c r="A52" s="172"/>
      <c r="B52" s="173" t="s">
        <v>0</v>
      </c>
      <c r="C52" s="187">
        <f>SUM(C53:C55)</f>
        <v>1000</v>
      </c>
      <c r="D52" s="240">
        <f>SUM(D53:D59)+D60</f>
        <v>1000</v>
      </c>
      <c r="E52" s="187">
        <f>SUM(E53:E59)+E60</f>
        <v>952.2169</v>
      </c>
      <c r="F52" s="187">
        <f aca="true" t="shared" si="25" ref="F52:F61">E52-D52</f>
        <v>-47.78309999999999</v>
      </c>
      <c r="G52" s="225">
        <f aca="true" t="shared" si="26" ref="G52:G61">_xlfn.IFERROR(E52/D52,"")</f>
        <v>0.9522169</v>
      </c>
      <c r="H52" s="187">
        <f t="shared" si="23"/>
        <v>-47.78309999999999</v>
      </c>
      <c r="I52" s="261">
        <f aca="true" t="shared" si="27" ref="I52:I61">_xlfn.IFERROR(E52/C52,"")</f>
        <v>0.9522169</v>
      </c>
      <c r="J52" s="240">
        <f>SUM(J53:J59)+J60</f>
        <v>13394.983</v>
      </c>
      <c r="K52" s="240">
        <f>SUM(K53:K59)+K60</f>
        <v>-1405.54178</v>
      </c>
      <c r="L52" s="181">
        <f>K52-J52</f>
        <v>-14800.52478</v>
      </c>
      <c r="M52" s="261">
        <f aca="true" t="shared" si="28" ref="M52:M61">_xlfn.IFERROR(K52/J52,"")</f>
        <v>-0.1049304638908463</v>
      </c>
      <c r="N52" s="187"/>
      <c r="O52" s="187">
        <f t="shared" si="24"/>
        <v>14394.983</v>
      </c>
      <c r="P52" s="187">
        <f aca="true" t="shared" si="29" ref="P52:P61">E52+K52</f>
        <v>-453.32488</v>
      </c>
      <c r="Q52" s="187">
        <f aca="true" t="shared" si="30" ref="Q52:Q61">P52-O52</f>
        <v>-14848.30788</v>
      </c>
      <c r="R52" s="261">
        <f aca="true" t="shared" si="31" ref="R52:R61">_xlfn.IFERROR(P52/O52,"")</f>
        <v>-0.031491866298140124</v>
      </c>
    </row>
    <row r="53" spans="1:18" s="118" customFormat="1" ht="44.25" customHeight="1">
      <c r="A53" s="228">
        <v>1140</v>
      </c>
      <c r="B53" s="168" t="s">
        <v>148</v>
      </c>
      <c r="C53" s="188">
        <v>0</v>
      </c>
      <c r="D53" s="241">
        <v>0</v>
      </c>
      <c r="E53" s="189">
        <v>-47.7831</v>
      </c>
      <c r="F53" s="189">
        <f t="shared" si="25"/>
        <v>-47.7831</v>
      </c>
      <c r="G53" s="261">
        <f t="shared" si="26"/>
      </c>
      <c r="H53" s="189">
        <f t="shared" si="23"/>
        <v>-47.7831</v>
      </c>
      <c r="I53" s="261">
        <f t="shared" si="27"/>
      </c>
      <c r="J53" s="190">
        <v>0</v>
      </c>
      <c r="K53" s="190">
        <v>0</v>
      </c>
      <c r="L53" s="190"/>
      <c r="M53" s="261">
        <f t="shared" si="28"/>
      </c>
      <c r="N53" s="189"/>
      <c r="O53" s="189">
        <f t="shared" si="24"/>
        <v>0</v>
      </c>
      <c r="P53" s="189">
        <f t="shared" si="29"/>
        <v>-47.7831</v>
      </c>
      <c r="Q53" s="189">
        <f t="shared" si="30"/>
        <v>-47.7831</v>
      </c>
      <c r="R53" s="261">
        <f t="shared" si="31"/>
      </c>
    </row>
    <row r="54" spans="1:18" s="118" customFormat="1" ht="87" customHeight="1">
      <c r="A54" s="228">
        <v>8820</v>
      </c>
      <c r="B54" s="168" t="s">
        <v>152</v>
      </c>
      <c r="C54" s="189">
        <v>1000</v>
      </c>
      <c r="D54" s="190">
        <v>1000</v>
      </c>
      <c r="E54" s="190">
        <v>1000</v>
      </c>
      <c r="F54" s="189">
        <f t="shared" si="25"/>
        <v>0</v>
      </c>
      <c r="G54" s="261">
        <f t="shared" si="26"/>
        <v>1</v>
      </c>
      <c r="H54" s="189">
        <f t="shared" si="23"/>
        <v>0</v>
      </c>
      <c r="I54" s="261">
        <f t="shared" si="27"/>
        <v>1</v>
      </c>
      <c r="J54" s="190">
        <v>360.67</v>
      </c>
      <c r="K54" s="190">
        <v>-415.49678</v>
      </c>
      <c r="L54" s="183">
        <f aca="true" t="shared" si="32" ref="L54:L60">K54-J54</f>
        <v>-776.16678</v>
      </c>
      <c r="M54" s="261">
        <f t="shared" si="28"/>
        <v>-1.1520136967310837</v>
      </c>
      <c r="N54" s="189"/>
      <c r="O54" s="189">
        <f t="shared" si="24"/>
        <v>1360.67</v>
      </c>
      <c r="P54" s="189">
        <f t="shared" si="29"/>
        <v>584.50322</v>
      </c>
      <c r="Q54" s="189">
        <f t="shared" si="30"/>
        <v>-776.16678</v>
      </c>
      <c r="R54" s="261">
        <f t="shared" si="31"/>
        <v>0.4295701529393608</v>
      </c>
    </row>
    <row r="55" spans="1:18" s="118" customFormat="1" ht="69.75" customHeight="1">
      <c r="A55" s="228" t="s">
        <v>149</v>
      </c>
      <c r="B55" s="168" t="s">
        <v>150</v>
      </c>
      <c r="C55" s="189">
        <v>0</v>
      </c>
      <c r="D55" s="266">
        <v>0</v>
      </c>
      <c r="E55" s="190">
        <v>0</v>
      </c>
      <c r="F55" s="189">
        <f t="shared" si="25"/>
        <v>0</v>
      </c>
      <c r="G55" s="261">
        <f t="shared" si="26"/>
      </c>
      <c r="H55" s="189">
        <f t="shared" si="23"/>
        <v>0</v>
      </c>
      <c r="I55" s="261">
        <f t="shared" si="27"/>
      </c>
      <c r="J55" s="190">
        <v>0</v>
      </c>
      <c r="K55" s="190">
        <v>-990.045</v>
      </c>
      <c r="L55" s="183">
        <f t="shared" si="32"/>
        <v>-990.045</v>
      </c>
      <c r="M55" s="261">
        <f t="shared" si="28"/>
      </c>
      <c r="N55" s="189"/>
      <c r="O55" s="189">
        <f t="shared" si="24"/>
        <v>0</v>
      </c>
      <c r="P55" s="189">
        <f t="shared" si="29"/>
        <v>-990.045</v>
      </c>
      <c r="Q55" s="189">
        <f t="shared" si="30"/>
        <v>-990.045</v>
      </c>
      <c r="R55" s="261">
        <f t="shared" si="31"/>
      </c>
    </row>
    <row r="56" spans="1:18" s="118" customFormat="1" ht="131.25" customHeight="1">
      <c r="A56" s="228">
        <v>8880</v>
      </c>
      <c r="B56" s="168" t="s">
        <v>151</v>
      </c>
      <c r="C56" s="188">
        <v>0</v>
      </c>
      <c r="D56" s="241">
        <v>0</v>
      </c>
      <c r="E56" s="188">
        <v>0</v>
      </c>
      <c r="F56" s="189"/>
      <c r="G56" s="261">
        <f t="shared" si="26"/>
      </c>
      <c r="H56" s="189"/>
      <c r="I56" s="261">
        <f t="shared" si="27"/>
      </c>
      <c r="J56" s="190">
        <v>13034.313</v>
      </c>
      <c r="K56" s="190">
        <v>0</v>
      </c>
      <c r="L56" s="183">
        <f t="shared" si="32"/>
        <v>-13034.313</v>
      </c>
      <c r="M56" s="261">
        <f t="shared" si="28"/>
        <v>0</v>
      </c>
      <c r="N56" s="189"/>
      <c r="O56" s="189">
        <f>C56+J56</f>
        <v>13034.313</v>
      </c>
      <c r="P56" s="189">
        <f t="shared" si="29"/>
        <v>0</v>
      </c>
      <c r="Q56" s="189">
        <f t="shared" si="30"/>
        <v>-13034.313</v>
      </c>
      <c r="R56" s="261">
        <f t="shared" si="31"/>
        <v>0</v>
      </c>
    </row>
    <row r="57" spans="1:18" s="1" customFormat="1" ht="60.75" hidden="1">
      <c r="A57" s="73">
        <v>8103</v>
      </c>
      <c r="B57" s="169" t="s">
        <v>1</v>
      </c>
      <c r="C57" s="188"/>
      <c r="D57" s="190"/>
      <c r="E57" s="188"/>
      <c r="F57" s="190">
        <f t="shared" si="25"/>
        <v>0</v>
      </c>
      <c r="G57" s="224">
        <f t="shared" si="26"/>
      </c>
      <c r="H57" s="190">
        <f>E57-C57</f>
        <v>0</v>
      </c>
      <c r="I57" s="224">
        <f t="shared" si="27"/>
      </c>
      <c r="J57" s="190"/>
      <c r="K57" s="190"/>
      <c r="L57" s="183">
        <f t="shared" si="32"/>
        <v>0</v>
      </c>
      <c r="M57" s="224">
        <f t="shared" si="28"/>
      </c>
      <c r="N57" s="190"/>
      <c r="O57" s="190">
        <f t="shared" si="24"/>
        <v>0</v>
      </c>
      <c r="P57" s="190">
        <f t="shared" si="29"/>
        <v>0</v>
      </c>
      <c r="Q57" s="190">
        <f t="shared" si="30"/>
        <v>0</v>
      </c>
      <c r="R57" s="224">
        <f t="shared" si="31"/>
      </c>
    </row>
    <row r="58" spans="1:18" s="1" customFormat="1" ht="60.75" hidden="1">
      <c r="A58" s="73">
        <v>8104</v>
      </c>
      <c r="B58" s="169" t="s">
        <v>2</v>
      </c>
      <c r="C58" s="188"/>
      <c r="D58" s="190"/>
      <c r="E58" s="188"/>
      <c r="F58" s="190">
        <f t="shared" si="25"/>
        <v>0</v>
      </c>
      <c r="G58" s="224">
        <f t="shared" si="26"/>
      </c>
      <c r="H58" s="190">
        <f>E58-C58</f>
        <v>0</v>
      </c>
      <c r="I58" s="224">
        <f t="shared" si="27"/>
      </c>
      <c r="J58" s="190"/>
      <c r="K58" s="190"/>
      <c r="L58" s="183">
        <f t="shared" si="32"/>
        <v>0</v>
      </c>
      <c r="M58" s="224">
        <f t="shared" si="28"/>
      </c>
      <c r="N58" s="190"/>
      <c r="O58" s="190">
        <f t="shared" si="24"/>
        <v>0</v>
      </c>
      <c r="P58" s="190">
        <f t="shared" si="29"/>
        <v>0</v>
      </c>
      <c r="Q58" s="190">
        <f t="shared" si="30"/>
        <v>0</v>
      </c>
      <c r="R58" s="224">
        <f t="shared" si="31"/>
      </c>
    </row>
    <row r="59" spans="1:18" s="1" customFormat="1" ht="40.5" hidden="1">
      <c r="A59" s="73">
        <v>8106</v>
      </c>
      <c r="B59" s="169" t="s">
        <v>3</v>
      </c>
      <c r="C59" s="188"/>
      <c r="D59" s="190"/>
      <c r="E59" s="188"/>
      <c r="F59" s="190">
        <f t="shared" si="25"/>
        <v>0</v>
      </c>
      <c r="G59" s="224">
        <f t="shared" si="26"/>
      </c>
      <c r="H59" s="190">
        <f>E59-C59</f>
        <v>0</v>
      </c>
      <c r="I59" s="224">
        <f t="shared" si="27"/>
      </c>
      <c r="J59" s="190"/>
      <c r="K59" s="190"/>
      <c r="L59" s="183">
        <f t="shared" si="32"/>
        <v>0</v>
      </c>
      <c r="M59" s="224">
        <f t="shared" si="28"/>
      </c>
      <c r="N59" s="190"/>
      <c r="O59" s="190">
        <f t="shared" si="24"/>
        <v>0</v>
      </c>
      <c r="P59" s="190">
        <f t="shared" si="29"/>
        <v>0</v>
      </c>
      <c r="Q59" s="190">
        <f t="shared" si="30"/>
        <v>0</v>
      </c>
      <c r="R59" s="224">
        <f t="shared" si="31"/>
      </c>
    </row>
    <row r="60" spans="1:18" s="1" customFormat="1" ht="60.75" hidden="1">
      <c r="A60" s="73">
        <v>8107</v>
      </c>
      <c r="B60" s="169" t="s">
        <v>92</v>
      </c>
      <c r="C60" s="188"/>
      <c r="D60" s="190"/>
      <c r="E60" s="188"/>
      <c r="F60" s="190">
        <f t="shared" si="25"/>
        <v>0</v>
      </c>
      <c r="G60" s="224">
        <f t="shared" si="26"/>
      </c>
      <c r="H60" s="190">
        <f>E60-C60</f>
        <v>0</v>
      </c>
      <c r="I60" s="224">
        <f t="shared" si="27"/>
      </c>
      <c r="J60" s="190"/>
      <c r="K60" s="190"/>
      <c r="L60" s="183">
        <f t="shared" si="32"/>
        <v>0</v>
      </c>
      <c r="M60" s="224">
        <f t="shared" si="28"/>
      </c>
      <c r="N60" s="190"/>
      <c r="O60" s="190">
        <f t="shared" si="24"/>
        <v>0</v>
      </c>
      <c r="P60" s="190">
        <f t="shared" si="29"/>
        <v>0</v>
      </c>
      <c r="Q60" s="190">
        <f t="shared" si="30"/>
        <v>0</v>
      </c>
      <c r="R60" s="224">
        <f t="shared" si="31"/>
      </c>
    </row>
    <row r="61" spans="1:20" ht="25.5" customHeight="1">
      <c r="A61" s="74"/>
      <c r="B61" s="170" t="s">
        <v>4</v>
      </c>
      <c r="C61" s="186">
        <f>C52+C51</f>
        <v>9158033.670289999</v>
      </c>
      <c r="D61" s="186">
        <f>D52+D51</f>
        <v>7271080.34875</v>
      </c>
      <c r="E61" s="186">
        <f>E52+E51</f>
        <v>5943465.678480001</v>
      </c>
      <c r="F61" s="186">
        <f t="shared" si="25"/>
        <v>-1327614.6702699987</v>
      </c>
      <c r="G61" s="224">
        <f t="shared" si="26"/>
        <v>0.8174116353289599</v>
      </c>
      <c r="H61" s="186">
        <f>E61-C61</f>
        <v>-3214567.9918099977</v>
      </c>
      <c r="I61" s="224">
        <f t="shared" si="27"/>
        <v>0.6489892800636313</v>
      </c>
      <c r="J61" s="186">
        <f>J51+J52</f>
        <v>1418915.3480800001</v>
      </c>
      <c r="K61" s="186">
        <f>K51+K52</f>
        <v>338378.94766</v>
      </c>
      <c r="L61" s="186">
        <f>L51+L52</f>
        <v>-1080536.40042</v>
      </c>
      <c r="M61" s="224">
        <f t="shared" si="28"/>
        <v>0.23847719183380192</v>
      </c>
      <c r="N61" s="263"/>
      <c r="O61" s="263">
        <f t="shared" si="24"/>
        <v>10576949.018369999</v>
      </c>
      <c r="P61" s="263">
        <f t="shared" si="29"/>
        <v>6281844.626140001</v>
      </c>
      <c r="Q61" s="263">
        <f t="shared" si="30"/>
        <v>-4295104.392229998</v>
      </c>
      <c r="R61" s="224">
        <f t="shared" si="31"/>
        <v>0.5939183988908069</v>
      </c>
      <c r="S61" s="5"/>
      <c r="T61" s="5"/>
    </row>
    <row r="62" spans="1:18" ht="15.75">
      <c r="A62" s="43"/>
      <c r="B62" s="44"/>
      <c r="C62" s="174"/>
      <c r="D62" s="242"/>
      <c r="E62" s="174"/>
      <c r="F62" s="175"/>
      <c r="G62" s="175"/>
      <c r="H62" s="176"/>
      <c r="I62" s="177"/>
      <c r="J62" s="243"/>
      <c r="K62" s="243"/>
      <c r="L62" s="250"/>
      <c r="M62" s="251"/>
      <c r="N62" s="179"/>
      <c r="O62" s="179"/>
      <c r="P62" s="179"/>
      <c r="Q62" s="179"/>
      <c r="R62" s="179"/>
    </row>
    <row r="63" spans="1:18" ht="15.75">
      <c r="A63" s="40"/>
      <c r="B63" s="56"/>
      <c r="C63" s="178"/>
      <c r="D63" s="243"/>
      <c r="E63" s="178"/>
      <c r="F63" s="176"/>
      <c r="G63" s="176"/>
      <c r="H63" s="176"/>
      <c r="I63" s="177"/>
      <c r="J63" s="243"/>
      <c r="K63" s="243"/>
      <c r="L63" s="250"/>
      <c r="M63" s="251"/>
      <c r="N63" s="179"/>
      <c r="O63" s="179"/>
      <c r="P63" s="179"/>
      <c r="Q63" s="179"/>
      <c r="R63" s="179"/>
    </row>
    <row r="64" spans="1:13" ht="15.75">
      <c r="A64" s="38"/>
      <c r="B64" s="39"/>
      <c r="C64" s="94"/>
      <c r="D64" s="244"/>
      <c r="E64" s="256"/>
      <c r="F64" s="40"/>
      <c r="G64" s="40"/>
      <c r="H64" s="46"/>
      <c r="I64" s="24"/>
      <c r="J64" s="252"/>
      <c r="K64" s="253"/>
      <c r="M64" s="254"/>
    </row>
    <row r="65" spans="1:13" ht="18.75">
      <c r="A65" s="38"/>
      <c r="B65" s="117"/>
      <c r="C65" s="95"/>
      <c r="D65" s="245"/>
      <c r="E65" s="101"/>
      <c r="F65" s="46"/>
      <c r="G65" s="46"/>
      <c r="H65" s="46"/>
      <c r="I65" s="24"/>
      <c r="J65" s="255"/>
      <c r="K65" s="253"/>
      <c r="M65" s="254"/>
    </row>
    <row r="66" spans="1:13" ht="15.75">
      <c r="A66" s="38"/>
      <c r="B66" s="39"/>
      <c r="C66" s="95"/>
      <c r="D66" s="245"/>
      <c r="E66" s="101"/>
      <c r="F66" s="46"/>
      <c r="G66" s="46"/>
      <c r="H66" s="46"/>
      <c r="I66" s="24"/>
      <c r="J66" s="253"/>
      <c r="K66" s="255"/>
      <c r="M66" s="254"/>
    </row>
    <row r="67" spans="1:13" ht="15.75">
      <c r="A67" s="38"/>
      <c r="B67" s="39"/>
      <c r="C67" s="95"/>
      <c r="D67" s="245"/>
      <c r="E67" s="101"/>
      <c r="F67" s="46"/>
      <c r="G67" s="46"/>
      <c r="H67" s="46"/>
      <c r="I67" s="24"/>
      <c r="J67" s="253"/>
      <c r="K67" s="253"/>
      <c r="M67" s="254"/>
    </row>
    <row r="68" spans="1:13" ht="15.75">
      <c r="A68" s="38"/>
      <c r="B68" s="39"/>
      <c r="C68" s="95"/>
      <c r="D68" s="245"/>
      <c r="E68" s="101"/>
      <c r="F68" s="46"/>
      <c r="G68" s="46"/>
      <c r="H68" s="46"/>
      <c r="I68" s="24"/>
      <c r="J68" s="253"/>
      <c r="K68" s="253"/>
      <c r="M68" s="254"/>
    </row>
    <row r="69" spans="1:13" ht="15.75">
      <c r="A69" s="38"/>
      <c r="B69" s="39"/>
      <c r="C69" s="95"/>
      <c r="D69" s="245"/>
      <c r="E69" s="101"/>
      <c r="F69" s="46"/>
      <c r="G69" s="46"/>
      <c r="H69" s="46"/>
      <c r="I69" s="24"/>
      <c r="J69" s="253"/>
      <c r="K69" s="253"/>
      <c r="M69" s="254"/>
    </row>
    <row r="70" spans="1:13" ht="15.75">
      <c r="A70" s="41"/>
      <c r="B70" s="42"/>
      <c r="C70" s="96"/>
      <c r="D70" s="246"/>
      <c r="E70" s="102"/>
      <c r="F70" s="47"/>
      <c r="G70" s="47"/>
      <c r="H70" s="47"/>
      <c r="M70" s="254"/>
    </row>
    <row r="71" spans="1:13" ht="15.75">
      <c r="A71" s="41"/>
      <c r="B71" s="42"/>
      <c r="C71" s="96"/>
      <c r="D71" s="246"/>
      <c r="E71" s="102"/>
      <c r="F71" s="47"/>
      <c r="G71" s="47"/>
      <c r="H71" s="47"/>
      <c r="M71" s="254"/>
    </row>
    <row r="72" spans="1:13" ht="15.75">
      <c r="A72" s="41"/>
      <c r="B72" s="42"/>
      <c r="C72" s="96"/>
      <c r="D72" s="246"/>
      <c r="E72" s="102"/>
      <c r="F72" s="47"/>
      <c r="G72" s="47"/>
      <c r="H72" s="47"/>
      <c r="M72" s="254"/>
    </row>
    <row r="73" ht="15.75">
      <c r="M73" s="254"/>
    </row>
    <row r="74" ht="15.75">
      <c r="M74" s="254"/>
    </row>
    <row r="75" ht="15.75">
      <c r="M75" s="254"/>
    </row>
    <row r="76" ht="15.75">
      <c r="M76" s="254"/>
    </row>
    <row r="77" ht="15.75">
      <c r="M77" s="254"/>
    </row>
    <row r="78" ht="15.75">
      <c r="M78" s="254"/>
    </row>
    <row r="79" ht="15.75">
      <c r="M79" s="254"/>
    </row>
    <row r="80" ht="15.75">
      <c r="M80" s="254"/>
    </row>
    <row r="81" ht="15.75">
      <c r="M81" s="254"/>
    </row>
    <row r="82" ht="15.75">
      <c r="M82" s="254"/>
    </row>
    <row r="83" ht="15.75">
      <c r="M83" s="254"/>
    </row>
    <row r="84" ht="15.75">
      <c r="M84" s="254"/>
    </row>
    <row r="85" ht="15.75">
      <c r="M85" s="254"/>
    </row>
    <row r="86" ht="15.75">
      <c r="M86" s="254"/>
    </row>
    <row r="87" ht="15.75">
      <c r="M87" s="254"/>
    </row>
    <row r="88" ht="15.75">
      <c r="M88" s="254"/>
    </row>
    <row r="89" ht="15.75">
      <c r="M89" s="254"/>
    </row>
    <row r="90" ht="15.75">
      <c r="M90" s="254"/>
    </row>
    <row r="91" ht="15.75">
      <c r="M91" s="254"/>
    </row>
    <row r="92" ht="15.75">
      <c r="M92" s="254"/>
    </row>
    <row r="93" ht="15.75">
      <c r="M93" s="254"/>
    </row>
    <row r="94" ht="15.75">
      <c r="M94" s="254"/>
    </row>
    <row r="95" ht="15.75">
      <c r="M95" s="254"/>
    </row>
    <row r="96" ht="15.75">
      <c r="M96" s="254"/>
    </row>
    <row r="97" ht="15.75">
      <c r="M97" s="254"/>
    </row>
    <row r="98" ht="15.75">
      <c r="M98" s="254"/>
    </row>
    <row r="99" ht="15.75">
      <c r="M99" s="254"/>
    </row>
    <row r="100" ht="15.75">
      <c r="M100" s="254"/>
    </row>
    <row r="101" ht="15.75">
      <c r="M101" s="254"/>
    </row>
    <row r="102" ht="15.75">
      <c r="M102" s="254"/>
    </row>
    <row r="103" ht="15.75">
      <c r="M103" s="254"/>
    </row>
    <row r="104" ht="15.75">
      <c r="M104" s="254"/>
    </row>
    <row r="105" ht="15.75">
      <c r="M105" s="254"/>
    </row>
    <row r="106" ht="15.75">
      <c r="M106" s="254"/>
    </row>
    <row r="107" ht="15.75">
      <c r="M107" s="254"/>
    </row>
    <row r="108" ht="15.75">
      <c r="M108" s="254"/>
    </row>
    <row r="109" ht="15.75">
      <c r="M109" s="254"/>
    </row>
    <row r="110" ht="15.75">
      <c r="M110" s="254"/>
    </row>
    <row r="111" ht="15.75">
      <c r="M111" s="254"/>
    </row>
    <row r="112" ht="15.75">
      <c r="M112" s="254"/>
    </row>
    <row r="113" ht="15.75">
      <c r="M113" s="254"/>
    </row>
    <row r="114" ht="15.75">
      <c r="M114" s="254"/>
    </row>
    <row r="115" ht="15.75">
      <c r="M115" s="254"/>
    </row>
    <row r="116" ht="15.75">
      <c r="M116" s="254"/>
    </row>
    <row r="117" ht="15.75">
      <c r="M117" s="254"/>
    </row>
    <row r="118" ht="15.75">
      <c r="M118" s="254"/>
    </row>
    <row r="119" ht="15.75">
      <c r="M119" s="254"/>
    </row>
    <row r="120" ht="15.75">
      <c r="M120" s="254"/>
    </row>
    <row r="121" ht="15.75">
      <c r="M121" s="254"/>
    </row>
    <row r="122" ht="15.75">
      <c r="M122" s="254"/>
    </row>
    <row r="123" ht="15.75">
      <c r="M123" s="254"/>
    </row>
    <row r="124" ht="15.75">
      <c r="M124" s="254"/>
    </row>
    <row r="125" ht="15.75">
      <c r="M125" s="254"/>
    </row>
    <row r="126" ht="15.75">
      <c r="M126" s="254"/>
    </row>
    <row r="127" ht="15.75">
      <c r="M127" s="254"/>
    </row>
    <row r="128" ht="15.75">
      <c r="M128" s="254"/>
    </row>
    <row r="129" ht="15.75">
      <c r="M129" s="254"/>
    </row>
    <row r="130" ht="15.75">
      <c r="M130" s="254"/>
    </row>
    <row r="131" ht="15.75">
      <c r="M131" s="254"/>
    </row>
    <row r="132" ht="15.75">
      <c r="M132" s="254"/>
    </row>
    <row r="133" ht="15.75">
      <c r="M133" s="254"/>
    </row>
    <row r="134" ht="15.75">
      <c r="M134" s="254"/>
    </row>
    <row r="135" ht="15.75">
      <c r="M135" s="254"/>
    </row>
    <row r="136" ht="15.75">
      <c r="M136" s="254"/>
    </row>
    <row r="137" ht="15.75">
      <c r="M137" s="254"/>
    </row>
    <row r="138" ht="15.75">
      <c r="M138" s="254"/>
    </row>
    <row r="139" ht="15.75">
      <c r="M139" s="254"/>
    </row>
    <row r="140" ht="15.75">
      <c r="M140" s="254"/>
    </row>
    <row r="141" ht="15.75">
      <c r="M141" s="254"/>
    </row>
    <row r="142" ht="15.75">
      <c r="M142" s="254"/>
    </row>
    <row r="143" ht="15.75">
      <c r="M143" s="254"/>
    </row>
    <row r="144" ht="15.75">
      <c r="M144" s="254"/>
    </row>
    <row r="145" ht="15.75">
      <c r="M145" s="254"/>
    </row>
    <row r="146" ht="15.75">
      <c r="M146" s="254"/>
    </row>
    <row r="147" ht="15.75">
      <c r="M147" s="254"/>
    </row>
    <row r="148" ht="15.75">
      <c r="M148" s="254"/>
    </row>
    <row r="149" ht="15.75">
      <c r="M149" s="254"/>
    </row>
    <row r="150" ht="15.75">
      <c r="M150" s="254"/>
    </row>
    <row r="151" ht="15.75">
      <c r="M151" s="254"/>
    </row>
    <row r="152" ht="15.75">
      <c r="M152" s="254"/>
    </row>
    <row r="153" ht="15.75">
      <c r="M153" s="254"/>
    </row>
    <row r="154" ht="15.75">
      <c r="M154" s="254"/>
    </row>
    <row r="155" ht="15.75">
      <c r="M155" s="254"/>
    </row>
    <row r="156" ht="15.75">
      <c r="M156" s="254"/>
    </row>
    <row r="157" ht="15.75">
      <c r="M157" s="254"/>
    </row>
    <row r="158" ht="15.75">
      <c r="M158" s="254"/>
    </row>
    <row r="159" ht="15.75">
      <c r="M159" s="254"/>
    </row>
    <row r="160" ht="15.75">
      <c r="M160" s="254"/>
    </row>
    <row r="161" ht="15.75">
      <c r="M161" s="254"/>
    </row>
    <row r="162" ht="15.75">
      <c r="M162" s="254"/>
    </row>
    <row r="163" ht="15.75">
      <c r="M163" s="254"/>
    </row>
    <row r="164" ht="15.75">
      <c r="M164" s="254"/>
    </row>
    <row r="165" ht="15.75">
      <c r="M165" s="254"/>
    </row>
    <row r="166" ht="15.75">
      <c r="M166" s="254"/>
    </row>
    <row r="167" ht="15.75">
      <c r="M167" s="254"/>
    </row>
    <row r="168" ht="15.75">
      <c r="M168" s="254"/>
    </row>
    <row r="169" ht="15.75">
      <c r="M169" s="254"/>
    </row>
    <row r="170" ht="15.75">
      <c r="M170" s="254"/>
    </row>
    <row r="171" ht="15.75">
      <c r="M171" s="254"/>
    </row>
    <row r="172" ht="15.75">
      <c r="M172" s="254"/>
    </row>
    <row r="173" ht="15.75">
      <c r="M173" s="254"/>
    </row>
    <row r="174" ht="15.75">
      <c r="M174" s="254"/>
    </row>
    <row r="175" ht="15.75">
      <c r="M175" s="254"/>
    </row>
    <row r="176" ht="15.75">
      <c r="M176" s="254"/>
    </row>
    <row r="177" ht="15.75">
      <c r="M177" s="254"/>
    </row>
    <row r="178" ht="15.75">
      <c r="M178" s="254"/>
    </row>
    <row r="179" ht="15.75">
      <c r="M179" s="254"/>
    </row>
    <row r="180" ht="15.75">
      <c r="M180" s="254"/>
    </row>
    <row r="181" ht="15.75">
      <c r="M181" s="254"/>
    </row>
    <row r="182" ht="15.75">
      <c r="M182" s="254"/>
    </row>
    <row r="183" ht="15.75">
      <c r="M183" s="254"/>
    </row>
    <row r="184" ht="15.75">
      <c r="M184" s="254"/>
    </row>
    <row r="185" ht="15.75">
      <c r="M185" s="254"/>
    </row>
    <row r="186" ht="15.75">
      <c r="M186" s="254"/>
    </row>
    <row r="187" ht="15.75">
      <c r="M187" s="254"/>
    </row>
    <row r="188" ht="15.75">
      <c r="M188" s="254"/>
    </row>
    <row r="189" ht="15.75">
      <c r="M189" s="254"/>
    </row>
    <row r="190" ht="15.75">
      <c r="M190" s="254"/>
    </row>
    <row r="191" ht="15.75">
      <c r="M191" s="254"/>
    </row>
    <row r="192" ht="15.75">
      <c r="M192" s="254"/>
    </row>
    <row r="193" ht="15.75">
      <c r="M193" s="254"/>
    </row>
    <row r="194" ht="15.75">
      <c r="M194" s="254"/>
    </row>
    <row r="195" ht="15.75">
      <c r="M195" s="254"/>
    </row>
    <row r="196" ht="15.75">
      <c r="M196" s="254"/>
    </row>
    <row r="197" ht="15.75">
      <c r="M197" s="254"/>
    </row>
    <row r="198" ht="15.75">
      <c r="M198" s="254"/>
    </row>
    <row r="199" ht="15.75">
      <c r="M199" s="254"/>
    </row>
    <row r="200" ht="15.75">
      <c r="M200" s="254"/>
    </row>
    <row r="201" ht="15.75">
      <c r="M201" s="254"/>
    </row>
    <row r="202" ht="15.75">
      <c r="M202" s="254"/>
    </row>
    <row r="203" ht="15.75">
      <c r="M203" s="254"/>
    </row>
    <row r="204" ht="15.75">
      <c r="M204" s="254"/>
    </row>
    <row r="205" ht="15.75">
      <c r="M205" s="254"/>
    </row>
    <row r="206" ht="15.75">
      <c r="M206" s="254"/>
    </row>
    <row r="207" ht="15.75">
      <c r="M207" s="254"/>
    </row>
    <row r="208" ht="15.75">
      <c r="M208" s="254"/>
    </row>
    <row r="209" ht="15.75">
      <c r="M209" s="254"/>
    </row>
    <row r="210" ht="15.75">
      <c r="M210" s="254"/>
    </row>
    <row r="211" ht="15.75">
      <c r="M211" s="254"/>
    </row>
    <row r="212" ht="15.75">
      <c r="M212" s="254"/>
    </row>
    <row r="213" ht="15.75">
      <c r="M213" s="254"/>
    </row>
    <row r="214" ht="15.75">
      <c r="M214" s="254"/>
    </row>
    <row r="215" ht="15.75">
      <c r="M215" s="254"/>
    </row>
    <row r="216" ht="15.75">
      <c r="M216" s="254"/>
    </row>
    <row r="217" ht="15.75">
      <c r="M217" s="254"/>
    </row>
    <row r="218" ht="15.75">
      <c r="M218" s="254"/>
    </row>
    <row r="219" ht="15.75">
      <c r="M219" s="254"/>
    </row>
    <row r="220" ht="15.75">
      <c r="M220" s="254"/>
    </row>
    <row r="221" ht="15.75">
      <c r="M221" s="254"/>
    </row>
    <row r="222" ht="15.75">
      <c r="M222" s="254"/>
    </row>
    <row r="223" ht="15.75">
      <c r="M223" s="254"/>
    </row>
    <row r="224" ht="15.75">
      <c r="M224" s="254"/>
    </row>
    <row r="225" ht="15.75">
      <c r="M225" s="254"/>
    </row>
    <row r="226" ht="15.75">
      <c r="M226" s="254"/>
    </row>
    <row r="227" ht="15.75">
      <c r="M227" s="254"/>
    </row>
    <row r="228" ht="15.75">
      <c r="M228" s="254"/>
    </row>
    <row r="229" ht="15.75">
      <c r="M229" s="254"/>
    </row>
    <row r="230" ht="15.75">
      <c r="M230" s="254"/>
    </row>
    <row r="231" ht="15.75">
      <c r="M231" s="254"/>
    </row>
    <row r="232" ht="15.75">
      <c r="M232" s="254"/>
    </row>
    <row r="233" ht="15.75">
      <c r="M233" s="254"/>
    </row>
    <row r="234" ht="15.75">
      <c r="M234" s="254"/>
    </row>
    <row r="235" ht="15.75">
      <c r="M235" s="254"/>
    </row>
    <row r="236" ht="15.75">
      <c r="M236" s="254"/>
    </row>
    <row r="237" ht="15.75">
      <c r="M237" s="254"/>
    </row>
    <row r="238" ht="15.75">
      <c r="M238" s="254"/>
    </row>
    <row r="239" ht="15.75">
      <c r="M239" s="254"/>
    </row>
    <row r="240" ht="15.75">
      <c r="M240" s="254"/>
    </row>
    <row r="241" ht="15.75">
      <c r="M241" s="254"/>
    </row>
    <row r="242" ht="15.75">
      <c r="M242" s="254"/>
    </row>
    <row r="243" ht="15.75">
      <c r="M243" s="254"/>
    </row>
    <row r="244" ht="15.75">
      <c r="M244" s="254"/>
    </row>
    <row r="245" ht="15.75">
      <c r="M245" s="254"/>
    </row>
    <row r="246" ht="15.75">
      <c r="M246" s="254"/>
    </row>
    <row r="247" ht="15.75">
      <c r="M247" s="254"/>
    </row>
    <row r="248" ht="15.75">
      <c r="M248" s="254"/>
    </row>
    <row r="249" ht="15.75">
      <c r="M249" s="254"/>
    </row>
    <row r="250" ht="15.75">
      <c r="M250" s="254"/>
    </row>
    <row r="251" ht="15.75">
      <c r="M251" s="254"/>
    </row>
    <row r="252" ht="15.75">
      <c r="M252" s="254"/>
    </row>
    <row r="253" ht="15.75">
      <c r="M253" s="254"/>
    </row>
    <row r="254" ht="15.75">
      <c r="M254" s="254"/>
    </row>
    <row r="255" ht="15.75">
      <c r="M255" s="254"/>
    </row>
    <row r="256" ht="15.75">
      <c r="M256" s="254"/>
    </row>
    <row r="257" ht="15.75">
      <c r="M257" s="254"/>
    </row>
    <row r="258" ht="15.75">
      <c r="M258" s="254"/>
    </row>
    <row r="259" ht="15.75">
      <c r="M259" s="254"/>
    </row>
    <row r="260" ht="15.75">
      <c r="M260" s="254"/>
    </row>
    <row r="261" ht="15.75">
      <c r="M261" s="254"/>
    </row>
    <row r="262" ht="15.75">
      <c r="M262" s="254"/>
    </row>
    <row r="263" ht="15.75">
      <c r="M263" s="254"/>
    </row>
    <row r="264" ht="15.75">
      <c r="M264" s="254"/>
    </row>
    <row r="265" ht="15.75">
      <c r="M265" s="254"/>
    </row>
    <row r="266" ht="15.75">
      <c r="M266" s="254"/>
    </row>
    <row r="267" ht="15.75">
      <c r="M267" s="254"/>
    </row>
    <row r="268" ht="15.75">
      <c r="M268" s="254"/>
    </row>
    <row r="269" ht="15.75">
      <c r="M269" s="254"/>
    </row>
    <row r="270" ht="15.75">
      <c r="M270" s="254"/>
    </row>
    <row r="271" ht="15.75">
      <c r="M271" s="254"/>
    </row>
    <row r="272" ht="15.75">
      <c r="M272" s="254"/>
    </row>
    <row r="273" ht="15.75">
      <c r="M273" s="254"/>
    </row>
    <row r="274" ht="15.75">
      <c r="M274" s="254"/>
    </row>
    <row r="275" ht="15.75">
      <c r="M275" s="254"/>
    </row>
    <row r="276" ht="15.75">
      <c r="M276" s="254"/>
    </row>
    <row r="277" ht="15.75">
      <c r="M277" s="254"/>
    </row>
    <row r="278" ht="15.75">
      <c r="M278" s="254"/>
    </row>
    <row r="279" ht="15.75">
      <c r="M279" s="254"/>
    </row>
    <row r="280" ht="15.75">
      <c r="M280" s="254"/>
    </row>
    <row r="281" ht="15.75">
      <c r="M281" s="254"/>
    </row>
    <row r="282" ht="15.75">
      <c r="M282" s="254"/>
    </row>
    <row r="283" ht="15.75">
      <c r="M283" s="254"/>
    </row>
    <row r="284" ht="15.75">
      <c r="M284" s="254"/>
    </row>
    <row r="285" ht="15.75">
      <c r="M285" s="254"/>
    </row>
    <row r="286" ht="15.75">
      <c r="M286" s="254"/>
    </row>
    <row r="287" ht="15.75">
      <c r="M287" s="254"/>
    </row>
    <row r="288" ht="15.75">
      <c r="M288" s="254"/>
    </row>
    <row r="289" ht="15.75">
      <c r="M289" s="254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Павлович Л.Л..</cp:lastModifiedBy>
  <cp:lastPrinted>2022-08-16T07:53:27Z</cp:lastPrinted>
  <dcterms:created xsi:type="dcterms:W3CDTF">2001-07-11T13:17:26Z</dcterms:created>
  <dcterms:modified xsi:type="dcterms:W3CDTF">2022-10-26T06:35:02Z</dcterms:modified>
  <cp:category/>
  <cp:version/>
  <cp:contentType/>
  <cp:contentStatus/>
</cp:coreProperties>
</file>